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 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<sst xmlns="http://schemas.openxmlformats.org/spreadsheetml/2006/main" count="1219" uniqueCount="248">
  <si>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</si>
  <si>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</si>
  <si>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</si>
  <si>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</si>
  <si>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</si>
  <si>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</si>
  <si>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</si>
  <si>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</si>
  <si>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</si>
  <si>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</si>
  <si>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</si>
  <si>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</si>
  <si>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</si>
  <si>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</si>
  <si>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</si>
  <si>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</si>
  <si>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</si>
  <si>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</si>
  <si>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</si>
  <si>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</si>
  <si>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</si>
  <si>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</si>
  <si>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</si>
  <si>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</si>
  <si>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</si>
  <si>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</si>
  <si>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</si>
  <si>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</si>
  <si>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</si>
  <si>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</si>
  <si>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</si>
  <si>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</si>
  <si>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</si>
  <si>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</si>
  <si>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</si>
  <si>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</si>
  <si>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</si>
  <si>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</si>
  <si>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</si>
  <si>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</si>
  <si>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</si>
  <si>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</si>
  <si>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</si>
  <si>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</si>
  <si>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</si>
  <si>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</si>
  <si>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</si>
  <si>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</si>
  <si>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</si>
  <si>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</si>
  <si>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</si>
  <si>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</si>
  <si>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</si>
  <si>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</si>
  <si>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</si>
  <si>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</si>
  <si>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</si>
  <si>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</si>
  <si>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</si>
  <si>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</si>
  <si>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</si>
  <si>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</si>
  <si>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</si>
  <si>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</si>
  <si>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</si>
  <si>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</si>
  <si>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</si>
  <si>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</si>
  <si>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</si>
  <si>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</si>
  <si>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</si>
  <si>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</si>
  <si>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</si>
  <si>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</si>
  <si>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</si>
  <si>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</si>
  <si>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</si>
  <si>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</si>
  <si>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</si>
  <si>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</si>
  <si>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</si>
  <si>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</si>
  <si>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</si>
  <si>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</si>
  <si>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</si>
  <si>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</si>
  <si>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</si>
  <si>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</si>
  <si>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</si>
  <si>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</si>
  <si>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</si>
  <si>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</si>
  <si>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</si>
  <si>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</si>
  <si>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</si>
  <si>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</si>
  <si>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</si>
  <si>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</si>
  <si>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</si>
  <si>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</si>
  <si>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</si>
  <si>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</si>
  <si>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</si>
  <si>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</si>
  <si>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</si>
  <si>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</si>
  <si>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</si>
  <si>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</si>
  <si>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</si>
  <si>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</si>
  <si>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</si>
  <si>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</si>
  <si>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</si>
  <si>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</si>
  <si>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</si>
  <si>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</si>
  <si>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</si>
  <si>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</si>
  <si>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</si>
  <si>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</si>
  <si>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</si>
  <si>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</si>
  <si>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</si>
  <si>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</si>
  <si>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</si>
  <si>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</si>
  <si>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</si>
  <si>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</si>
  <si>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</si>
  <si>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</si>
  <si>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</si>
  <si>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</si>
  <si>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</si>
  <si>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</si>
  <si>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</si>
  <si>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</si>
  <si>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</si>
  <si>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</si>
  <si>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</si>
  <si>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</si>
  <si>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</si>
  <si>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</si>
  <si>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</si>
  <si>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</si>
  <si>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</si>
  <si>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</si>
  <si>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</si>
  <si>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</si>
  <si>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</si>
  <si>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</si>
  <si>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</si>
  <si>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</si>
  <si>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</si>
  <si>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</si>
  <si>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</si>
  <si>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</si>
  <si>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</si>
  <si>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</si>
  <si>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</si>
  <si>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</si>
  <si>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</si>
  <si>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</si>
  <si>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</si>
  <si>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</si>
  <si>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</si>
  <si>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</si>
  <si>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</si>
  <si>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</si>
  <si>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</si>
  <si>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</si>
  <si>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</si>
  <si>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</si>
  <si>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</si>
  <si>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</si>
  <si>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</si>
  <si>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</si>
  <si>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</si>
  <si>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</si>
  <si>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</si>
  <si>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</si>
  <si>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</si>
  <si>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</si>
  <si>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</si>
  <si>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</si>
  <si>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</si>
  <si>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</si>
  <si>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</si>
  <si>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</si>
  <si>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</si>
  <si>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</si>
  <si>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</si>
  <si>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</si>
  <si>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</si>
  <si>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</si>
  <si>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</si>
  <si>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</si>
  <si>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</si>
  <si>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</si>
  <si>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</si>
  <si>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</si>
  <si>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</si>
  <si>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</si>
  <si>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</si>
  <si>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</si>
  <si>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</si>
  <si>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</si>
  <si>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</si>
  <si>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</si>
  <si>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</si>
  <si>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</si>
  <si>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</si>
  <si>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</si>
  <si>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</si>
  <si>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</si>
  <si>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</si>
  <si>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</si>
  <si>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</si>
  <si>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</si>
  <si>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</si>
  <si>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</si>
  <si>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</si>
  <si>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</si>
  <si>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</si>
  <si>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</si>
  <si>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</si>
  <si>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</si>
  <si>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</si>
  <si>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</si>
  <si>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</si>
  <si>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</si>
  <si>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</si>
  <si>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</si>
  <si>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</si>
  <si>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</si>
  <si>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</si>
  <si>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</si>
  <si>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</si>
  <si>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</si>
  <si>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</si>
  <si>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</si>
  <si>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</si>
  <si>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</si>
  <si>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</si>
  <si>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</si>
  <si>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</si>
  <si>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</si>
  <si>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</si>
  <si>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10.06.14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</si>
</sst>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9" xfId="22" applyFont="1" applyFill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4" fillId="0" borderId="9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9" fontId="4" fillId="0" borderId="9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6"/>
      <sheetName val="депозит"/>
      <sheetName val="залишки  (2)"/>
      <sheetName val="надх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</sheetNames>
    <sheetDataSet>
      <sheetData sheetId="12">
        <row r="6">
          <cell r="G6">
            <v>118468683.44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104643461.47999999</v>
          </cell>
        </row>
      </sheetData>
      <sheetData sheetId="13">
        <row r="52">
          <cell r="B52">
            <v>16116628.17</v>
          </cell>
        </row>
      </sheetData>
      <sheetData sheetId="17">
        <row r="28">
          <cell r="C28">
            <v>4870376.3</v>
          </cell>
        </row>
      </sheetData>
      <sheetData sheetId="18">
        <row r="28">
          <cell r="C28">
            <v>3219411</v>
          </cell>
        </row>
      </sheetData>
      <sheetData sheetId="19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47" sqref="E14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7" t="s">
        <v>246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26"/>
      <c r="R1" s="127"/>
    </row>
    <row r="2" spans="2:18" s="1" customFormat="1" ht="15.75" customHeight="1">
      <c r="B2" s="168"/>
      <c r="C2" s="168"/>
      <c r="D2" s="168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9"/>
      <c r="B3" s="171"/>
      <c r="C3" s="172" t="s">
        <v>0</v>
      </c>
      <c r="D3" s="173" t="s">
        <v>224</v>
      </c>
      <c r="E3" s="173"/>
      <c r="F3" s="174" t="s">
        <v>107</v>
      </c>
      <c r="G3" s="175"/>
      <c r="H3" s="175"/>
      <c r="I3" s="175"/>
      <c r="J3" s="175"/>
      <c r="K3" s="175"/>
      <c r="L3" s="176"/>
      <c r="M3" s="177" t="s">
        <v>225</v>
      </c>
      <c r="N3" s="179" t="s">
        <v>243</v>
      </c>
      <c r="O3" s="179"/>
      <c r="P3" s="179"/>
      <c r="Q3" s="179"/>
      <c r="R3" s="179"/>
    </row>
    <row r="4" spans="1:18" ht="22.5" customHeight="1">
      <c r="A4" s="169"/>
      <c r="B4" s="171"/>
      <c r="C4" s="172"/>
      <c r="D4" s="173"/>
      <c r="E4" s="173"/>
      <c r="F4" s="165" t="s">
        <v>116</v>
      </c>
      <c r="G4" s="180" t="s">
        <v>238</v>
      </c>
      <c r="H4" s="182" t="s">
        <v>239</v>
      </c>
      <c r="I4" s="184" t="s">
        <v>188</v>
      </c>
      <c r="J4" s="186" t="s">
        <v>189</v>
      </c>
      <c r="K4" s="188" t="s">
        <v>240</v>
      </c>
      <c r="L4" s="189"/>
      <c r="M4" s="178"/>
      <c r="N4" s="196" t="s">
        <v>247</v>
      </c>
      <c r="O4" s="184" t="s">
        <v>136</v>
      </c>
      <c r="P4" s="184" t="s">
        <v>135</v>
      </c>
      <c r="Q4" s="188" t="s">
        <v>242</v>
      </c>
      <c r="R4" s="189"/>
    </row>
    <row r="5" spans="1:18" ht="82.5" customHeight="1">
      <c r="A5" s="170"/>
      <c r="B5" s="171"/>
      <c r="C5" s="172"/>
      <c r="D5" s="150" t="s">
        <v>209</v>
      </c>
      <c r="E5" s="158" t="s">
        <v>237</v>
      </c>
      <c r="F5" s="166"/>
      <c r="G5" s="181"/>
      <c r="H5" s="183"/>
      <c r="I5" s="185"/>
      <c r="J5" s="187"/>
      <c r="K5" s="190"/>
      <c r="L5" s="191"/>
      <c r="M5" s="151" t="s">
        <v>241</v>
      </c>
      <c r="N5" s="197"/>
      <c r="O5" s="185"/>
      <c r="P5" s="185"/>
      <c r="Q5" s="190"/>
      <c r="R5" s="19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195072.25</v>
      </c>
      <c r="G8" s="22">
        <f aca="true" t="shared" si="0" ref="G8:G30">F8-E8</f>
        <v>-38194.28</v>
      </c>
      <c r="H8" s="51">
        <f>F8/E8*100</f>
        <v>83.62633507687536</v>
      </c>
      <c r="I8" s="36">
        <f aca="true" t="shared" si="1" ref="I8:I17">F8-D8</f>
        <v>-293404.05</v>
      </c>
      <c r="J8" s="36">
        <f aca="true" t="shared" si="2" ref="J8:J14">F8/D8*100</f>
        <v>39.934844331239816</v>
      </c>
      <c r="K8" s="36">
        <f>F8-227938.8</f>
        <v>-32866.54999999999</v>
      </c>
      <c r="L8" s="136">
        <f>F8/227938.8</f>
        <v>0.8558097612166073</v>
      </c>
      <c r="M8" s="22">
        <f>M10+M19+M33+M56+M68+M30</f>
        <v>41595.47</v>
      </c>
      <c r="N8" s="22">
        <f>N10+N19+N33+N56+N68+N30</f>
        <v>10267.050000000021</v>
      </c>
      <c r="O8" s="36">
        <f aca="true" t="shared" si="3" ref="O8:O71">N8-M8</f>
        <v>-31328.41999999998</v>
      </c>
      <c r="P8" s="36">
        <f>F8/M8*100</f>
        <v>468.9747465288888</v>
      </c>
      <c r="Q8" s="36">
        <f>N8-40804</f>
        <v>-30536.94999999998</v>
      </c>
      <c r="R8" s="134">
        <f>N8/40804</f>
        <v>0.2516187138515837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158578.89</v>
      </c>
      <c r="G9" s="22">
        <f t="shared" si="0"/>
        <v>158578.89</v>
      </c>
      <c r="H9" s="20"/>
      <c r="I9" s="56">
        <f t="shared" si="1"/>
        <v>-228434.31</v>
      </c>
      <c r="J9" s="56">
        <f t="shared" si="2"/>
        <v>40.97505976540335</v>
      </c>
      <c r="K9" s="56"/>
      <c r="L9" s="135"/>
      <c r="M9" s="20">
        <f>M10+M17</f>
        <v>34434.5</v>
      </c>
      <c r="N9" s="20">
        <f>N10+N17</f>
        <v>9818.74000000002</v>
      </c>
      <c r="O9" s="36">
        <f t="shared" si="3"/>
        <v>-24615.75999999998</v>
      </c>
      <c r="P9" s="56">
        <f>F9/M9*100</f>
        <v>460.52328333502743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158578.89</v>
      </c>
      <c r="G10" s="49">
        <f t="shared" si="0"/>
        <v>-31967.409999999974</v>
      </c>
      <c r="H10" s="40">
        <f aca="true" t="shared" si="4" ref="H10:H17">F10/E10*100</f>
        <v>83.22328483943274</v>
      </c>
      <c r="I10" s="56">
        <f t="shared" si="1"/>
        <v>-228434.31</v>
      </c>
      <c r="J10" s="56">
        <f t="shared" si="2"/>
        <v>40.97505976540335</v>
      </c>
      <c r="K10" s="141">
        <f>F10-179133.7</f>
        <v>-20554.809999999998</v>
      </c>
      <c r="L10" s="142">
        <f>F10/179133.7</f>
        <v>0.8852543658730881</v>
      </c>
      <c r="M10" s="40">
        <f>E10-травень!E10</f>
        <v>34434.5</v>
      </c>
      <c r="N10" s="40">
        <f>F10-травень!F10</f>
        <v>9818.74000000002</v>
      </c>
      <c r="O10" s="53">
        <f t="shared" si="3"/>
        <v>-24615.75999999998</v>
      </c>
      <c r="P10" s="56">
        <f aca="true" t="shared" si="5" ref="P10:P17">N10/M10*100</f>
        <v>28.514251695247555</v>
      </c>
      <c r="Q10" s="141">
        <f>N10-33294.7</f>
        <v>-23475.959999999977</v>
      </c>
      <c r="R10" s="142">
        <f>N10/33294.7</f>
        <v>0.2949039937287322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306.38</v>
      </c>
      <c r="G19" s="49">
        <f t="shared" si="0"/>
        <v>-716.22</v>
      </c>
      <c r="H19" s="40">
        <f aca="true" t="shared" si="6" ref="H19:H29">F19/E19*100</f>
        <v>29.96088402112263</v>
      </c>
      <c r="I19" s="56">
        <f aca="true" t="shared" si="7" ref="I19:I29">F19-D19</f>
        <v>-693.62</v>
      </c>
      <c r="J19" s="56">
        <f aca="true" t="shared" si="8" ref="J19:J29">F19/D19*100</f>
        <v>30.637999999999998</v>
      </c>
      <c r="K19" s="56">
        <f>F19-5620.4</f>
        <v>-5314.0199999999995</v>
      </c>
      <c r="L19" s="135">
        <f>F19/5620.4</f>
        <v>0.05451213436766067</v>
      </c>
      <c r="M19" s="40">
        <f>E19-травень!E19</f>
        <v>11</v>
      </c>
      <c r="N19" s="40">
        <f>F19-травень!F19</f>
        <v>-339</v>
      </c>
      <c r="O19" s="53">
        <f t="shared" si="3"/>
        <v>-350</v>
      </c>
      <c r="P19" s="56">
        <f aca="true" t="shared" si="9" ref="P19:P29">N19/M19*100</f>
        <v>-3081.8181818181815</v>
      </c>
      <c r="Q19" s="56">
        <f>N19-465.3</f>
        <v>-804.3</v>
      </c>
      <c r="R19" s="135">
        <f>N19/465.3</f>
        <v>-0.7285622179239201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816.66</v>
      </c>
      <c r="G29" s="49">
        <f t="shared" si="0"/>
        <v>54.059999999999945</v>
      </c>
      <c r="H29" s="40">
        <f t="shared" si="6"/>
        <v>107.08890637293469</v>
      </c>
      <c r="I29" s="56">
        <f t="shared" si="7"/>
        <v>-113.34000000000003</v>
      </c>
      <c r="J29" s="56">
        <f t="shared" si="8"/>
        <v>87.81290322580645</v>
      </c>
      <c r="K29" s="148">
        <f>F29-2001.3</f>
        <v>-1184.6399999999999</v>
      </c>
      <c r="L29" s="149">
        <f>F29/2001.3</f>
        <v>0.4080647579073602</v>
      </c>
      <c r="M29" s="40">
        <f>E29-травень!E29</f>
        <v>11</v>
      </c>
      <c r="N29" s="40">
        <f>F29-травень!F29</f>
        <v>11</v>
      </c>
      <c r="O29" s="148">
        <f t="shared" si="3"/>
        <v>0</v>
      </c>
      <c r="P29" s="145">
        <f t="shared" si="9"/>
        <v>100</v>
      </c>
      <c r="Q29" s="148">
        <f>N29-403.3</f>
        <v>-392.3</v>
      </c>
      <c r="R29" s="149">
        <f>N29/403.3</f>
        <v>0.02727498140342177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33317.96</v>
      </c>
      <c r="G33" s="49">
        <f aca="true" t="shared" si="14" ref="G33:G72">F33-E33</f>
        <v>-4963.270000000004</v>
      </c>
      <c r="H33" s="40">
        <f aca="true" t="shared" si="15" ref="H33:H67">F33/E33*100</f>
        <v>87.03471649160697</v>
      </c>
      <c r="I33" s="56">
        <f>F33-D33</f>
        <v>-60248.04</v>
      </c>
      <c r="J33" s="56">
        <f aca="true" t="shared" si="16" ref="J33:J72">F33/D33*100</f>
        <v>35.60904602099053</v>
      </c>
      <c r="K33" s="141">
        <f>F33-39969.9</f>
        <v>-6651.940000000002</v>
      </c>
      <c r="L33" s="142">
        <f>F33/39969.9</f>
        <v>0.8335762661402705</v>
      </c>
      <c r="M33" s="40">
        <f>E33-травень!E33</f>
        <v>6540.770000000004</v>
      </c>
      <c r="N33" s="40">
        <f>F33-травень!F33</f>
        <v>613.4500000000007</v>
      </c>
      <c r="O33" s="53">
        <f t="shared" si="3"/>
        <v>-5927.320000000003</v>
      </c>
      <c r="P33" s="56">
        <f aca="true" t="shared" si="17" ref="P33:P67">N33/M33*100</f>
        <v>9.378865179481933</v>
      </c>
      <c r="Q33" s="141">
        <f>N33-6504.1</f>
        <v>-5890.65</v>
      </c>
      <c r="R33" s="142">
        <f>N33/6504.1</f>
        <v>0.09431743054381093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25080.09</v>
      </c>
      <c r="G55" s="144">
        <f t="shared" si="14"/>
        <v>-3250.84</v>
      </c>
      <c r="H55" s="146">
        <f t="shared" si="15"/>
        <v>88.52547374900858</v>
      </c>
      <c r="I55" s="145">
        <f t="shared" si="18"/>
        <v>-45185.91</v>
      </c>
      <c r="J55" s="145">
        <f t="shared" si="16"/>
        <v>35.693066347878066</v>
      </c>
      <c r="K55" s="148">
        <f>F55-28815.15</f>
        <v>-3735.0600000000013</v>
      </c>
      <c r="L55" s="149">
        <f>F55/28815.15</f>
        <v>0.870378602922421</v>
      </c>
      <c r="M55" s="40">
        <f>E55-травень!E55</f>
        <v>4780.77</v>
      </c>
      <c r="N55" s="40">
        <f>F55-травень!F55</f>
        <v>541.9099999999999</v>
      </c>
      <c r="O55" s="148">
        <f t="shared" si="3"/>
        <v>-4238.860000000001</v>
      </c>
      <c r="P55" s="148">
        <f t="shared" si="17"/>
        <v>11.335203324987393</v>
      </c>
      <c r="Q55" s="163">
        <f>N55-4583</f>
        <v>-4041.09</v>
      </c>
      <c r="R55" s="164">
        <f>N55/4583</f>
        <v>0.11824350861880861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0.23+2864.95</f>
        <v>2865.18</v>
      </c>
      <c r="G56" s="49">
        <f t="shared" si="14"/>
        <v>-533.1200000000003</v>
      </c>
      <c r="H56" s="40">
        <f t="shared" si="15"/>
        <v>84.31215607803901</v>
      </c>
      <c r="I56" s="56">
        <f t="shared" si="18"/>
        <v>-3994.82</v>
      </c>
      <c r="J56" s="56">
        <f t="shared" si="16"/>
        <v>41.766472303206996</v>
      </c>
      <c r="K56" s="56">
        <f>F56-3189.3</f>
        <v>-324.12000000000035</v>
      </c>
      <c r="L56" s="135">
        <f>F56/3189.3</f>
        <v>0.8983726836609913</v>
      </c>
      <c r="M56" s="40">
        <f>E56-травень!E56</f>
        <v>609.2000000000003</v>
      </c>
      <c r="N56" s="40">
        <f>F56-травень!F56</f>
        <v>173.85999999999967</v>
      </c>
      <c r="O56" s="53">
        <f t="shared" si="3"/>
        <v>-435.3400000000006</v>
      </c>
      <c r="P56" s="56">
        <f t="shared" si="17"/>
        <v>28.5390676296782</v>
      </c>
      <c r="Q56" s="56">
        <f>N56-539.8</f>
        <v>-365.9400000000003</v>
      </c>
      <c r="R56" s="135">
        <f>N56/539.8</f>
        <v>0.32208225268617946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F68-0.4</f>
        <v>0.53</v>
      </c>
      <c r="L68" s="135"/>
      <c r="M68" s="40">
        <f>E68-травень!E68</f>
        <v>0</v>
      </c>
      <c r="N68" s="40">
        <f>F68-травень!F68</f>
        <v>0</v>
      </c>
      <c r="O68" s="53">
        <f t="shared" si="3"/>
        <v>0</v>
      </c>
      <c r="P68" s="56"/>
      <c r="Q68" s="56">
        <f>N68-0.1</f>
        <v>-0.1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7428.5</v>
      </c>
      <c r="F74" s="22">
        <f>F77+F86+F88+F89+F94+F95+F96+F97+F99+F103+F87</f>
        <v>6123.969999999999</v>
      </c>
      <c r="G74" s="50">
        <f aca="true" t="shared" si="24" ref="G74:G92">F74-E74</f>
        <v>-1304.5300000000007</v>
      </c>
      <c r="H74" s="51">
        <f aca="true" t="shared" si="25" ref="H74:H87">F74/E74*100</f>
        <v>82.43885037356128</v>
      </c>
      <c r="I74" s="36">
        <f aca="true" t="shared" si="26" ref="I74:I92">F74-D74</f>
        <v>-12234.33</v>
      </c>
      <c r="J74" s="36">
        <f aca="true" t="shared" si="27" ref="J74:J92">F74/D74*100</f>
        <v>33.358045134898106</v>
      </c>
      <c r="K74" s="36">
        <f>F74-9149.2</f>
        <v>-3025.2300000000014</v>
      </c>
      <c r="L74" s="136">
        <f>F74/9149.2</f>
        <v>0.6693448607528526</v>
      </c>
      <c r="M74" s="22">
        <f>M77+M86+M88+M89+M94+M95+M96+M97+M99+M87+M103</f>
        <v>1500.5</v>
      </c>
      <c r="N74" s="22">
        <f>N77+N86+N88+N89+N94+N95+N96+N97+N99+N32+N103+N87</f>
        <v>775.6799999999998</v>
      </c>
      <c r="O74" s="55">
        <f aca="true" t="shared" si="28" ref="O74:O92">N74-M74</f>
        <v>-724.8200000000002</v>
      </c>
      <c r="P74" s="36">
        <f>N74/M74*100</f>
        <v>51.69476841052981</v>
      </c>
      <c r="Q74" s="36">
        <f>N74-1610.7</f>
        <v>-835.0200000000002</v>
      </c>
      <c r="R74" s="136">
        <f>N74/1610.7</f>
        <v>0.4815794375116408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5.08</v>
      </c>
      <c r="G88" s="49">
        <f t="shared" si="24"/>
        <v>3.08</v>
      </c>
      <c r="H88" s="40">
        <f>F88/E88*100</f>
        <v>254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E88-травень!E88</f>
        <v>0.5</v>
      </c>
      <c r="N88" s="40">
        <f>F88-травень!F88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48.96</v>
      </c>
      <c r="G89" s="49">
        <f t="shared" si="24"/>
        <v>-35.04</v>
      </c>
      <c r="H89" s="40">
        <f>F89/E89*100</f>
        <v>58.285714285714285</v>
      </c>
      <c r="I89" s="56">
        <f t="shared" si="26"/>
        <v>-126.03999999999999</v>
      </c>
      <c r="J89" s="56">
        <f t="shared" si="27"/>
        <v>27.977142857142855</v>
      </c>
      <c r="K89" s="56">
        <f>F89-81.2</f>
        <v>-32.24</v>
      </c>
      <c r="L89" s="135">
        <f>F89/81.2</f>
        <v>0.6029556650246305</v>
      </c>
      <c r="M89" s="40">
        <f>E89-травень!E89</f>
        <v>15</v>
      </c>
      <c r="N89" s="40">
        <f>F89-травень!F89</f>
        <v>1.8699999999999974</v>
      </c>
      <c r="O89" s="53">
        <f t="shared" si="28"/>
        <v>-13.130000000000003</v>
      </c>
      <c r="P89" s="56">
        <f>N89/M89*100</f>
        <v>12.466666666666649</v>
      </c>
      <c r="Q89" s="56">
        <f>N89-7.8</f>
        <v>-5.930000000000002</v>
      </c>
      <c r="R89" s="135">
        <f>N89/7.8</f>
        <v>0.23974358974358942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3548.66</v>
      </c>
      <c r="G95" s="49">
        <f t="shared" si="31"/>
        <v>17.159999999999854</v>
      </c>
      <c r="H95" s="40">
        <f>F95/E95*100</f>
        <v>100.48591250176979</v>
      </c>
      <c r="I95" s="56">
        <f t="shared" si="32"/>
        <v>-3451.34</v>
      </c>
      <c r="J95" s="56">
        <f>F95/D95*100</f>
        <v>50.69514285714285</v>
      </c>
      <c r="K95" s="56">
        <f>F95-3630.2</f>
        <v>-81.53999999999996</v>
      </c>
      <c r="L95" s="135">
        <f>F95/3630.2</f>
        <v>0.9775384276348411</v>
      </c>
      <c r="M95" s="40">
        <f>E95-травень!E95</f>
        <v>575</v>
      </c>
      <c r="N95" s="40">
        <f>F95-травень!F95</f>
        <v>586.5</v>
      </c>
      <c r="O95" s="53">
        <f t="shared" si="33"/>
        <v>11.5</v>
      </c>
      <c r="P95" s="56">
        <f>N95/M95*100</f>
        <v>102</v>
      </c>
      <c r="Q95" s="56">
        <f>N95-681.8</f>
        <v>-95.29999999999995</v>
      </c>
      <c r="R95" s="135">
        <f>N95/681.8</f>
        <v>0.8602229392783808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368.46</v>
      </c>
      <c r="G96" s="49">
        <f t="shared" si="31"/>
        <v>-106.04000000000002</v>
      </c>
      <c r="H96" s="40">
        <f>F96/E96*100</f>
        <v>77.6522655426765</v>
      </c>
      <c r="I96" s="56">
        <f t="shared" si="32"/>
        <v>-831.54</v>
      </c>
      <c r="J96" s="56">
        <f>F96/D96*100</f>
        <v>30.705</v>
      </c>
      <c r="K96" s="56">
        <f>F96-463.2</f>
        <v>-94.74000000000001</v>
      </c>
      <c r="L96" s="135">
        <f>F96/463.2</f>
        <v>0.7954663212435233</v>
      </c>
      <c r="M96" s="40">
        <f>E96-травень!E96</f>
        <v>100</v>
      </c>
      <c r="N96" s="40">
        <f>F96-травень!F96</f>
        <v>17.47999999999996</v>
      </c>
      <c r="O96" s="53">
        <f t="shared" si="33"/>
        <v>-82.52000000000004</v>
      </c>
      <c r="P96" s="56">
        <f>N96/M96*100</f>
        <v>17.47999999999996</v>
      </c>
      <c r="Q96" s="56">
        <f>N96-89.2</f>
        <v>-71.72000000000004</v>
      </c>
      <c r="R96" s="135">
        <f>N96/89.2</f>
        <v>0.1959641255605377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v>1819.53</v>
      </c>
      <c r="G99" s="49">
        <f t="shared" si="31"/>
        <v>-17.470000000000027</v>
      </c>
      <c r="H99" s="40">
        <f>F99/E99*100</f>
        <v>99.04899292324441</v>
      </c>
      <c r="I99" s="56">
        <f t="shared" si="32"/>
        <v>-2753.17</v>
      </c>
      <c r="J99" s="56">
        <f>F99/D99*100</f>
        <v>39.79115183589565</v>
      </c>
      <c r="K99" s="56">
        <f>F99-1991.7</f>
        <v>-172.17000000000007</v>
      </c>
      <c r="L99" s="135">
        <f>F99/1991.7</f>
        <v>0.9135562584726615</v>
      </c>
      <c r="M99" s="40">
        <f>E99-травень!E99</f>
        <v>330</v>
      </c>
      <c r="N99" s="40">
        <f>F99-травень!F99</f>
        <v>169.5999999999999</v>
      </c>
      <c r="O99" s="53">
        <f t="shared" si="33"/>
        <v>-160.4000000000001</v>
      </c>
      <c r="P99" s="56">
        <f>N99/M99*100</f>
        <v>51.39393939393937</v>
      </c>
      <c r="Q99" s="56">
        <f>N99-325.9</f>
        <v>-156.30000000000007</v>
      </c>
      <c r="R99" s="135">
        <f>N99/325.9</f>
        <v>0.5204050322184717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320</v>
      </c>
      <c r="G102" s="144"/>
      <c r="H102" s="146"/>
      <c r="I102" s="145"/>
      <c r="J102" s="145"/>
      <c r="K102" s="148">
        <f>F102-244.8</f>
        <v>75.19999999999999</v>
      </c>
      <c r="L102" s="149">
        <f>F102/244.8</f>
        <v>1.3071895424836601</v>
      </c>
      <c r="M102" s="40">
        <f>E102-травень!E102</f>
        <v>0</v>
      </c>
      <c r="N102" s="40">
        <f>F102-травень!F102</f>
        <v>28.80000000000001</v>
      </c>
      <c r="O102" s="53"/>
      <c r="P102" s="60"/>
      <c r="Q102" s="60">
        <f>N102-60.1</f>
        <v>-31.29999999999999</v>
      </c>
      <c r="R102" s="138">
        <f>N102/60.1</f>
        <v>0.47920133111480884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E103-травень!E103</f>
        <v>0</v>
      </c>
      <c r="N103" s="40">
        <f>F103-травень!F103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15.2</v>
      </c>
      <c r="F104" s="57">
        <v>11.67</v>
      </c>
      <c r="G104" s="49">
        <f>F104-E104</f>
        <v>-3.5299999999999994</v>
      </c>
      <c r="H104" s="40">
        <f>F104/E104*100</f>
        <v>76.7763157894737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F104-13.4</f>
        <v>-1.7300000000000004</v>
      </c>
      <c r="L104" s="135">
        <f>F104/13.4</f>
        <v>0.8708955223880597</v>
      </c>
      <c r="M104" s="40">
        <f>E104-травень!E104</f>
        <v>3</v>
      </c>
      <c r="N104" s="40">
        <f>F104-травень!F104</f>
        <v>0</v>
      </c>
      <c r="O104" s="53">
        <f t="shared" si="35"/>
        <v>-3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E105-травень!E105</f>
        <v>0</v>
      </c>
      <c r="N105" s="40">
        <f>F105-травень!F105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240710.23</v>
      </c>
      <c r="F106" s="22">
        <f>F8+F74+F104+F105</f>
        <v>201207.93000000002</v>
      </c>
      <c r="G106" s="50">
        <f>F106-E106</f>
        <v>-39502.29999999999</v>
      </c>
      <c r="H106" s="51">
        <f>F106/E106*100</f>
        <v>83.58927246257876</v>
      </c>
      <c r="I106" s="36">
        <f t="shared" si="34"/>
        <v>-305671.6699999999</v>
      </c>
      <c r="J106" s="36">
        <f t="shared" si="36"/>
        <v>39.69540892945781</v>
      </c>
      <c r="K106" s="36">
        <f>F106-237104</f>
        <v>-35896.06999999998</v>
      </c>
      <c r="L106" s="136">
        <f>F106/237104</f>
        <v>0.8486062234293813</v>
      </c>
      <c r="M106" s="22">
        <f>M8+M74+M104+M105</f>
        <v>43098.97</v>
      </c>
      <c r="N106" s="22">
        <f>N8+N74+N104+N105</f>
        <v>11042.730000000021</v>
      </c>
      <c r="O106" s="55">
        <f t="shared" si="35"/>
        <v>-32056.23999999998</v>
      </c>
      <c r="P106" s="36">
        <f>N106/M106*100</f>
        <v>25.62179560207592</v>
      </c>
      <c r="Q106" s="36">
        <f>N106-42414.8</f>
        <v>-31372.06999999998</v>
      </c>
      <c r="R106" s="136">
        <f>N106/42414.8</f>
        <v>0.26035086809321323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191020.8</v>
      </c>
      <c r="F107" s="71">
        <f>F10-F18+F96</f>
        <v>158947.35</v>
      </c>
      <c r="G107" s="71">
        <f>G10-G18+G96</f>
        <v>-32073.449999999975</v>
      </c>
      <c r="H107" s="72">
        <f>F107/E107*100</f>
        <v>83.2094463011358</v>
      </c>
      <c r="I107" s="52">
        <f t="shared" si="34"/>
        <v>-229265.85</v>
      </c>
      <c r="J107" s="52">
        <f t="shared" si="36"/>
        <v>40.943314137695474</v>
      </c>
      <c r="K107" s="52">
        <f>F107-179685.8</f>
        <v>-20738.449999999983</v>
      </c>
      <c r="L107" s="137">
        <f>F107/179685.8</f>
        <v>0.8845849254643384</v>
      </c>
      <c r="M107" s="71">
        <f>M10-M18+M96</f>
        <v>34534.5</v>
      </c>
      <c r="N107" s="71">
        <f>N10-N18+N96</f>
        <v>9836.22000000002</v>
      </c>
      <c r="O107" s="53">
        <f t="shared" si="35"/>
        <v>-24698.27999999998</v>
      </c>
      <c r="P107" s="52">
        <f>N107/M107*100</f>
        <v>28.48230030838732</v>
      </c>
      <c r="Q107" s="52">
        <f>N107-33396.9</f>
        <v>-23560.679999999982</v>
      </c>
      <c r="R107" s="137">
        <f>N107/33396.9</f>
        <v>0.2945249409376325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49689.43000000002</v>
      </c>
      <c r="F108" s="71">
        <f>F106-F107</f>
        <v>42260.580000000016</v>
      </c>
      <c r="G108" s="62">
        <f>F108-E108</f>
        <v>-7428.850000000006</v>
      </c>
      <c r="H108" s="72">
        <f>F108/E108*100</f>
        <v>85.04943606718773</v>
      </c>
      <c r="I108" s="52">
        <f t="shared" si="34"/>
        <v>-76405.81999999995</v>
      </c>
      <c r="J108" s="52">
        <f t="shared" si="36"/>
        <v>35.61292834365922</v>
      </c>
      <c r="K108" s="52">
        <f>F108-57418.1</f>
        <v>-15157.519999999982</v>
      </c>
      <c r="L108" s="137">
        <f>F108/57418.1</f>
        <v>0.7360149499896377</v>
      </c>
      <c r="M108" s="71">
        <f>M106-M107</f>
        <v>8564.470000000001</v>
      </c>
      <c r="N108" s="71">
        <f>N106-N107</f>
        <v>1206.510000000002</v>
      </c>
      <c r="O108" s="53">
        <f t="shared" si="35"/>
        <v>-7357.959999999999</v>
      </c>
      <c r="P108" s="52">
        <f>N108/M108*100</f>
        <v>14.087386610029599</v>
      </c>
      <c r="Q108" s="52">
        <f>N108-9017.9</f>
        <v>-7811.389999999998</v>
      </c>
      <c r="R108" s="137">
        <f>N108/9017.9</f>
        <v>0.13379057208441011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185650.9</v>
      </c>
      <c r="F109" s="71">
        <f>F107</f>
        <v>158947.35</v>
      </c>
      <c r="G109" s="111">
        <f>F109-E109</f>
        <v>-26703.54999999999</v>
      </c>
      <c r="H109" s="72">
        <f>F109/E109*100</f>
        <v>85.61625610217888</v>
      </c>
      <c r="I109" s="81">
        <f t="shared" si="34"/>
        <v>-229265.85</v>
      </c>
      <c r="J109" s="52">
        <f t="shared" si="36"/>
        <v>40.943314137695474</v>
      </c>
      <c r="K109" s="52"/>
      <c r="L109" s="137"/>
      <c r="M109" s="72">
        <f>E109-травень!E109</f>
        <v>34534.5</v>
      </c>
      <c r="N109" s="71">
        <f>N107</f>
        <v>9836.22000000002</v>
      </c>
      <c r="O109" s="118">
        <f t="shared" si="35"/>
        <v>-24698.27999999998</v>
      </c>
      <c r="P109" s="52">
        <f>N109/M109*100</f>
        <v>28.48230030838732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245</v>
      </c>
      <c r="C111" s="93"/>
      <c r="D111" s="84"/>
      <c r="E111" s="111">
        <f>0-травень!G109</f>
        <v>2005.2699999999895</v>
      </c>
      <c r="F111" s="84">
        <v>0</v>
      </c>
      <c r="G111" s="62">
        <f>F111-E111</f>
        <v>-2005.2699999999895</v>
      </c>
      <c r="H111" s="72"/>
      <c r="I111" s="85"/>
      <c r="J111" s="52"/>
      <c r="K111" s="52"/>
      <c r="L111" s="137"/>
      <c r="M111" s="159">
        <f>E111</f>
        <v>2005.2699999999895</v>
      </c>
      <c r="N111" s="84">
        <v>0</v>
      </c>
      <c r="O111" s="118">
        <f>N111-M111</f>
        <v>-2005.2699999999895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F113-7.8</f>
        <v>-8.94</v>
      </c>
      <c r="L113" s="138">
        <f>F113/7.8</f>
        <v>-0.14615384615384613</v>
      </c>
      <c r="M113" s="40">
        <f>E113-травень!E113</f>
        <v>0</v>
      </c>
      <c r="N113" s="40">
        <f>F113-травень!F113</f>
        <v>0</v>
      </c>
      <c r="O113" s="53"/>
      <c r="P113" s="60"/>
      <c r="Q113" s="60">
        <f>N113-1.1</f>
        <v>-1.1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1697.1</v>
      </c>
      <c r="F114" s="32">
        <v>539.75</v>
      </c>
      <c r="G114" s="49">
        <f t="shared" si="37"/>
        <v>-1157.35</v>
      </c>
      <c r="H114" s="40">
        <f aca="true" t="shared" si="39" ref="H114:H125">F114/E114*100</f>
        <v>31.804254316186437</v>
      </c>
      <c r="I114" s="60">
        <f t="shared" si="38"/>
        <v>-3131.75</v>
      </c>
      <c r="J114" s="60">
        <f aca="true" t="shared" si="40" ref="J114:J120">F114/D114*100</f>
        <v>14.70107585455536</v>
      </c>
      <c r="K114" s="60">
        <f>F114-1891.5</f>
        <v>-1351.75</v>
      </c>
      <c r="L114" s="138">
        <f>F114/1891.5</f>
        <v>0.2853555379328575</v>
      </c>
      <c r="M114" s="40">
        <f>E114-травень!E114</f>
        <v>327.5</v>
      </c>
      <c r="N114" s="40">
        <f>F114-травень!F114</f>
        <v>39.99000000000001</v>
      </c>
      <c r="O114" s="53">
        <f aca="true" t="shared" si="41" ref="O114:O125">N114-M114</f>
        <v>-287.51</v>
      </c>
      <c r="P114" s="60">
        <f>N114/M114*100</f>
        <v>12.210687022900766</v>
      </c>
      <c r="Q114" s="60">
        <f>N114-276.6</f>
        <v>-236.61</v>
      </c>
      <c r="R114" s="138">
        <f>N114/276.6</f>
        <v>0.1445770065075922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134.5</v>
      </c>
      <c r="F115" s="32">
        <v>130.4</v>
      </c>
      <c r="G115" s="49">
        <f t="shared" si="37"/>
        <v>-4.099999999999994</v>
      </c>
      <c r="H115" s="40">
        <f t="shared" si="39"/>
        <v>96.95167286245353</v>
      </c>
      <c r="I115" s="60">
        <f t="shared" si="38"/>
        <v>-137.70000000000002</v>
      </c>
      <c r="J115" s="60">
        <f t="shared" si="40"/>
        <v>48.638567698619916</v>
      </c>
      <c r="K115" s="60">
        <f>F115-131.2</f>
        <v>-0.799999999999983</v>
      </c>
      <c r="L115" s="138">
        <f>F115/131.2</f>
        <v>0.9939024390243903</v>
      </c>
      <c r="M115" s="40">
        <f>E115-травень!E115</f>
        <v>22</v>
      </c>
      <c r="N115" s="40">
        <f>F115-травень!F115</f>
        <v>10.86</v>
      </c>
      <c r="O115" s="53">
        <f t="shared" si="41"/>
        <v>-11.14</v>
      </c>
      <c r="P115" s="60">
        <f>N115/M115*100</f>
        <v>49.36363636363636</v>
      </c>
      <c r="Q115" s="60">
        <f>N115-25.8</f>
        <v>-14.940000000000001</v>
      </c>
      <c r="R115" s="138">
        <f>N115/25.8</f>
        <v>0.4209302325581395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1831.6</v>
      </c>
      <c r="F116" s="38">
        <f>SUM(F113:F115)</f>
        <v>669.01</v>
      </c>
      <c r="G116" s="62">
        <f t="shared" si="37"/>
        <v>-1162.59</v>
      </c>
      <c r="H116" s="72">
        <f t="shared" si="39"/>
        <v>36.52598820703211</v>
      </c>
      <c r="I116" s="61">
        <f t="shared" si="38"/>
        <v>-3270.59</v>
      </c>
      <c r="J116" s="61">
        <f t="shared" si="40"/>
        <v>16.981673266321454</v>
      </c>
      <c r="K116" s="61">
        <f>F116-2030.5</f>
        <v>-1361.49</v>
      </c>
      <c r="L116" s="139">
        <f>F116/2030.5</f>
        <v>0.32948042354099977</v>
      </c>
      <c r="M116" s="62">
        <f>M114+M115+M113</f>
        <v>349.5</v>
      </c>
      <c r="N116" s="38">
        <f>SUM(N113:N115)</f>
        <v>50.85000000000001</v>
      </c>
      <c r="O116" s="61">
        <f t="shared" si="41"/>
        <v>-298.65</v>
      </c>
      <c r="P116" s="61">
        <f>N116/M116*100</f>
        <v>14.54935622317597</v>
      </c>
      <c r="Q116" s="61">
        <f>N116-303.5</f>
        <v>-252.64999999999998</v>
      </c>
      <c r="R116" s="139">
        <f>N116/303.5</f>
        <v>0.16754530477759474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109.5</v>
      </c>
      <c r="F118" s="33">
        <v>130.59</v>
      </c>
      <c r="G118" s="49">
        <f t="shared" si="37"/>
        <v>21.090000000000003</v>
      </c>
      <c r="H118" s="40">
        <f t="shared" si="39"/>
        <v>119.26027397260275</v>
      </c>
      <c r="I118" s="60">
        <f t="shared" si="38"/>
        <v>-136.60999999999999</v>
      </c>
      <c r="J118" s="60">
        <f t="shared" si="40"/>
        <v>48.87350299401198</v>
      </c>
      <c r="K118" s="60">
        <f>F118-95.9</f>
        <v>34.69</v>
      </c>
      <c r="L118" s="138">
        <f>F118/95.9</f>
        <v>1.3617309697601667</v>
      </c>
      <c r="M118" s="40">
        <f>E118-травень!E118</f>
        <v>3</v>
      </c>
      <c r="N118" s="40">
        <f>F118-травень!F118</f>
        <v>0.8400000000000034</v>
      </c>
      <c r="O118" s="53">
        <f>N118-M118</f>
        <v>-2.1599999999999966</v>
      </c>
      <c r="P118" s="60">
        <f>N118/M118*100</f>
        <v>28.000000000000114</v>
      </c>
      <c r="Q118" s="60">
        <f>N118-7.4</f>
        <v>-6.559999999999997</v>
      </c>
      <c r="R118" s="138">
        <f>N118/7.4</f>
        <v>0.11351351351351396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34212.6</v>
      </c>
      <c r="F119" s="33">
        <v>35851.12</v>
      </c>
      <c r="G119" s="49">
        <f t="shared" si="37"/>
        <v>1638.520000000004</v>
      </c>
      <c r="H119" s="40">
        <f t="shared" si="39"/>
        <v>104.7892296989998</v>
      </c>
      <c r="I119" s="53">
        <f t="shared" si="38"/>
        <v>-36124.87</v>
      </c>
      <c r="J119" s="60">
        <f t="shared" si="40"/>
        <v>49.80983241772708</v>
      </c>
      <c r="K119" s="60">
        <f>F119-32510.8</f>
        <v>3340.3200000000033</v>
      </c>
      <c r="L119" s="138">
        <f>F119/32510.8</f>
        <v>1.1027449339911661</v>
      </c>
      <c r="M119" s="40">
        <f>E119-травень!E119</f>
        <v>2600</v>
      </c>
      <c r="N119" s="40">
        <f>F119-травень!F119</f>
        <v>676.9000000000015</v>
      </c>
      <c r="O119" s="53">
        <f t="shared" si="41"/>
        <v>-1923.0999999999985</v>
      </c>
      <c r="P119" s="60">
        <f aca="true" t="shared" si="42" ref="P119:P124">N119/M119*100</f>
        <v>26.03461538461544</v>
      </c>
      <c r="Q119" s="60">
        <v>2488.2</v>
      </c>
      <c r="R119" s="138">
        <f>N119/2488.2</f>
        <v>0.27204404790611747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1667</v>
      </c>
      <c r="F120" s="33">
        <v>1658.92</v>
      </c>
      <c r="G120" s="49">
        <f t="shared" si="37"/>
        <v>-8.079999999999927</v>
      </c>
      <c r="H120" s="40">
        <f t="shared" si="39"/>
        <v>99.51529694061189</v>
      </c>
      <c r="I120" s="60">
        <f t="shared" si="38"/>
        <v>-8341.08</v>
      </c>
      <c r="J120" s="60">
        <f t="shared" si="40"/>
        <v>16.5892</v>
      </c>
      <c r="K120" s="60">
        <f>F120-624.6</f>
        <v>1034.3200000000002</v>
      </c>
      <c r="L120" s="138">
        <f>F120/624.6</f>
        <v>2.6559718219660584</v>
      </c>
      <c r="M120" s="40">
        <f>E120-травень!E120</f>
        <v>19</v>
      </c>
      <c r="N120" s="40">
        <f>F120-травень!F120</f>
        <v>46.99000000000001</v>
      </c>
      <c r="O120" s="53">
        <f t="shared" si="41"/>
        <v>27.99000000000001</v>
      </c>
      <c r="P120" s="60">
        <f t="shared" si="42"/>
        <v>247.31578947368425</v>
      </c>
      <c r="Q120" s="60">
        <f>N120-188.5</f>
        <v>-141.51</v>
      </c>
      <c r="R120" s="138">
        <f>N120/188.5</f>
        <v>0.24928381962864726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4822.6</v>
      </c>
      <c r="F121" s="33">
        <v>2070.75</v>
      </c>
      <c r="G121" s="49">
        <f t="shared" si="37"/>
        <v>-2751.8500000000004</v>
      </c>
      <c r="H121" s="40">
        <f t="shared" si="39"/>
        <v>42.938456434288554</v>
      </c>
      <c r="I121" s="60">
        <f t="shared" si="38"/>
        <v>-21007.25</v>
      </c>
      <c r="J121" s="60">
        <f>F121/D121*100</f>
        <v>8.972831267874167</v>
      </c>
      <c r="K121" s="60">
        <f>F121-13847.9</f>
        <v>-11777.15</v>
      </c>
      <c r="L121" s="138">
        <f>F121/13847.9</f>
        <v>0.14953530860274844</v>
      </c>
      <c r="M121" s="40">
        <f>E121-травень!E121</f>
        <v>1767.2000000000003</v>
      </c>
      <c r="N121" s="40">
        <f>F121-травень!F121</f>
        <v>0</v>
      </c>
      <c r="O121" s="53">
        <f t="shared" si="41"/>
        <v>-1767.2000000000003</v>
      </c>
      <c r="P121" s="60">
        <f t="shared" si="42"/>
        <v>0</v>
      </c>
      <c r="Q121" s="60">
        <f>N121-6379.2</f>
        <v>-6379.2</v>
      </c>
      <c r="R121" s="138">
        <f>N121/6379.2</f>
        <v>0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862.45</v>
      </c>
      <c r="F122" s="33">
        <v>701.37</v>
      </c>
      <c r="G122" s="49">
        <f t="shared" si="37"/>
        <v>-161.08000000000004</v>
      </c>
      <c r="H122" s="40">
        <f t="shared" si="39"/>
        <v>81.32297524494173</v>
      </c>
      <c r="I122" s="60">
        <f t="shared" si="38"/>
        <v>-1298.63</v>
      </c>
      <c r="J122" s="60">
        <f>F122/D122*100</f>
        <v>35.0685</v>
      </c>
      <c r="K122" s="60">
        <f>F122-1200</f>
        <v>-498.63</v>
      </c>
      <c r="L122" s="138">
        <f>F122/1200</f>
        <v>0.584475</v>
      </c>
      <c r="M122" s="40">
        <f>E122-травень!E122</f>
        <v>189.59000000000003</v>
      </c>
      <c r="N122" s="40">
        <f>F122-травень!F122</f>
        <v>0.5800000000000409</v>
      </c>
      <c r="O122" s="53">
        <f t="shared" si="41"/>
        <v>-189.01</v>
      </c>
      <c r="P122" s="60">
        <f t="shared" si="42"/>
        <v>0.30592330819138186</v>
      </c>
      <c r="Q122" s="60">
        <f>N122-0</f>
        <v>0.5800000000000409</v>
      </c>
      <c r="R122" s="138" t="e">
        <f>N122/0</f>
        <v>#DIV/0!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41674.149999999994</v>
      </c>
      <c r="F123" s="38">
        <f>F119+F120+F121+F122+F118</f>
        <v>40412.75</v>
      </c>
      <c r="G123" s="62">
        <f t="shared" si="37"/>
        <v>-1261.3999999999942</v>
      </c>
      <c r="H123" s="72">
        <f t="shared" si="39"/>
        <v>96.97318361622254</v>
      </c>
      <c r="I123" s="61">
        <f t="shared" si="38"/>
        <v>-66908.44</v>
      </c>
      <c r="J123" s="61">
        <f>F123/D123*100</f>
        <v>37.65589069595669</v>
      </c>
      <c r="K123" s="61">
        <f>F123-48279.1</f>
        <v>-7866.3499999999985</v>
      </c>
      <c r="L123" s="139">
        <f>F123/48279.1</f>
        <v>0.8370651068474765</v>
      </c>
      <c r="M123" s="62">
        <f>M119+M120+M121+M122+M118</f>
        <v>4578.790000000001</v>
      </c>
      <c r="N123" s="62">
        <f>N119+N120+N121+N122+N118</f>
        <v>725.3100000000015</v>
      </c>
      <c r="O123" s="61">
        <f t="shared" si="41"/>
        <v>-3853.4799999999996</v>
      </c>
      <c r="P123" s="61">
        <f t="shared" si="42"/>
        <v>15.84064785674821</v>
      </c>
      <c r="Q123" s="61">
        <f>N123-9063.3</f>
        <v>-8337.989999999998</v>
      </c>
      <c r="R123" s="139">
        <f>N123/9063.3</f>
        <v>0.08002714243156483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17.16</v>
      </c>
      <c r="F124" s="33">
        <v>11.19</v>
      </c>
      <c r="G124" s="49">
        <f t="shared" si="37"/>
        <v>-5.970000000000001</v>
      </c>
      <c r="H124" s="40">
        <f t="shared" si="39"/>
        <v>65.20979020979021</v>
      </c>
      <c r="I124" s="60">
        <f t="shared" si="38"/>
        <v>-32.31</v>
      </c>
      <c r="J124" s="60">
        <f>F124/D124*100</f>
        <v>25.72413793103448</v>
      </c>
      <c r="K124" s="60">
        <f>F124-100.8</f>
        <v>-89.61</v>
      </c>
      <c r="L124" s="138">
        <f>F124/100.8</f>
        <v>0.11101190476190476</v>
      </c>
      <c r="M124" s="40">
        <f>E124-травень!E124</f>
        <v>3</v>
      </c>
      <c r="N124" s="40">
        <f>F124-травень!F124</f>
        <v>0.47999999999999865</v>
      </c>
      <c r="O124" s="53">
        <f t="shared" si="41"/>
        <v>-2.5200000000000014</v>
      </c>
      <c r="P124" s="60">
        <f t="shared" si="42"/>
        <v>15.999999999999956</v>
      </c>
      <c r="Q124" s="60">
        <f>N124-1.6</f>
        <v>-1.1200000000000014</v>
      </c>
      <c r="R124" s="138">
        <f>N124/1.6</f>
        <v>0.29999999999999916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E125-травень!E125</f>
        <v>0</v>
      </c>
      <c r="N125" s="40">
        <f>F125-травень!F125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E126-травень!E126</f>
        <v>0</v>
      </c>
      <c r="N126" s="40">
        <f>F126-травень!F126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5012.5</v>
      </c>
      <c r="F127" s="33">
        <v>5294.18</v>
      </c>
      <c r="G127" s="49">
        <f aca="true" t="shared" si="43" ref="G127:G134">F127-E127</f>
        <v>281.6800000000003</v>
      </c>
      <c r="H127" s="40">
        <f>F127/E127*100</f>
        <v>105.61955112219452</v>
      </c>
      <c r="I127" s="60">
        <f aca="true" t="shared" si="44" ref="I127:I134">F127-D127</f>
        <v>-3405.8199999999997</v>
      </c>
      <c r="J127" s="60">
        <f>F127/D127*100</f>
        <v>60.85264367816092</v>
      </c>
      <c r="K127" s="60">
        <f>F127-6301.4</f>
        <v>-1007.2199999999993</v>
      </c>
      <c r="L127" s="138">
        <f>F127/6301.4</f>
        <v>0.8401593296727712</v>
      </c>
      <c r="M127" s="40">
        <f>E127-травень!E127</f>
        <v>1</v>
      </c>
      <c r="N127" s="40">
        <f>F127-травень!F127</f>
        <v>1.3200000000006185</v>
      </c>
      <c r="O127" s="53">
        <f aca="true" t="shared" si="45" ref="O127:O134">N127-M127</f>
        <v>0.32000000000061846</v>
      </c>
      <c r="P127" s="60">
        <f>N127/M127*100</f>
        <v>132.00000000006185</v>
      </c>
      <c r="Q127" s="60">
        <f>N127-12.3</f>
        <v>-10.979999999999382</v>
      </c>
      <c r="R127" s="162">
        <f>N127/12.3</f>
        <v>0.10731707317078198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F128-(-0.4)</f>
        <v>0.44</v>
      </c>
      <c r="L128" s="138">
        <f>F128/(-0.4)</f>
        <v>-0.09999999999999999</v>
      </c>
      <c r="M128" s="40">
        <f>E128-травень!E128</f>
        <v>0</v>
      </c>
      <c r="N128" s="40">
        <f>F128-травень!F128</f>
        <v>0</v>
      </c>
      <c r="O128" s="53">
        <f t="shared" si="45"/>
        <v>0</v>
      </c>
      <c r="P128" s="60"/>
      <c r="Q128" s="60">
        <f>N128-0.1</f>
        <v>-0.1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5036.86</v>
      </c>
      <c r="F129" s="38">
        <f>F127+F124+F128+F126</f>
        <v>5323.17</v>
      </c>
      <c r="G129" s="62">
        <f t="shared" si="43"/>
        <v>286.3100000000004</v>
      </c>
      <c r="H129" s="72">
        <f>F129/E129*100</f>
        <v>105.68429537449919</v>
      </c>
      <c r="I129" s="61">
        <f t="shared" si="44"/>
        <v>-3427.5300000000007</v>
      </c>
      <c r="J129" s="61">
        <f>F129/D129*100</f>
        <v>60.83136206246357</v>
      </c>
      <c r="K129" s="61">
        <f>F129-6410.2</f>
        <v>-1087.0299999999997</v>
      </c>
      <c r="L129" s="139">
        <f>G129/6410.2</f>
        <v>0.0446647530498269</v>
      </c>
      <c r="M129" s="62">
        <f>M124+M127+M128+M126</f>
        <v>4</v>
      </c>
      <c r="N129" s="62">
        <f>N124+N127+N128+N126</f>
        <v>1.800000000000617</v>
      </c>
      <c r="O129" s="61">
        <f t="shared" si="45"/>
        <v>-2.199999999999383</v>
      </c>
      <c r="P129" s="61">
        <f>N129/M129*100</f>
        <v>45.000000000015426</v>
      </c>
      <c r="Q129" s="61">
        <f>N129-14</f>
        <v>-12.199999999999383</v>
      </c>
      <c r="R129" s="137">
        <f>N129/14</f>
        <v>0.12857142857147266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15.65</v>
      </c>
      <c r="F130" s="33">
        <v>13.15</v>
      </c>
      <c r="G130" s="49">
        <f>F130-E130</f>
        <v>-2.5</v>
      </c>
      <c r="H130" s="40">
        <f>F130/E130*100</f>
        <v>84.02555910543131</v>
      </c>
      <c r="I130" s="60">
        <f>F130-D130</f>
        <v>-16.85</v>
      </c>
      <c r="J130" s="60">
        <f>F130/D130*100</f>
        <v>43.833333333333336</v>
      </c>
      <c r="K130" s="60">
        <f>F130-16.8</f>
        <v>-3.6500000000000004</v>
      </c>
      <c r="L130" s="138">
        <f>F130/16.8</f>
        <v>0.7827380952380952</v>
      </c>
      <c r="M130" s="40">
        <f>E130-травень!E130</f>
        <v>7</v>
      </c>
      <c r="N130" s="40">
        <f>F130-травень!F130</f>
        <v>0</v>
      </c>
      <c r="O130" s="53">
        <f>N130-M130</f>
        <v>-7</v>
      </c>
      <c r="P130" s="60">
        <f>N130/M130*100</f>
        <v>0</v>
      </c>
      <c r="Q130" s="60">
        <f>N130-7.5</f>
        <v>-7.5</v>
      </c>
      <c r="R130" s="138">
        <f>N130/7.5</f>
        <v>0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E131-травень!E131</f>
        <v>0</v>
      </c>
      <c r="N131" s="40">
        <f>F131-травень!F131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E132-травень!E132</f>
        <v>0</v>
      </c>
      <c r="N132" s="40">
        <f>F132-травень!F132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48558.259999999995</v>
      </c>
      <c r="F133" s="31">
        <f>F116+F130+F123+F129+F132+F131</f>
        <v>46418.08</v>
      </c>
      <c r="G133" s="50">
        <f t="shared" si="43"/>
        <v>-2140.179999999993</v>
      </c>
      <c r="H133" s="51">
        <f>F133/E133*100</f>
        <v>95.5925521219253</v>
      </c>
      <c r="I133" s="36">
        <f t="shared" si="44"/>
        <v>-73623.41</v>
      </c>
      <c r="J133" s="36">
        <f>F133/D133*100</f>
        <v>38.668363746567955</v>
      </c>
      <c r="K133" s="36">
        <f>F133-56736.6</f>
        <v>-10318.519999999997</v>
      </c>
      <c r="L133" s="136">
        <f>F133/56736.6</f>
        <v>0.8181329159660607</v>
      </c>
      <c r="M133" s="31">
        <f>M116+M130+M123+M129+M132+M131</f>
        <v>4939.290000000001</v>
      </c>
      <c r="N133" s="31">
        <f>N116+N130+N123+N129+N132+N131</f>
        <v>777.9600000000022</v>
      </c>
      <c r="O133" s="36">
        <f t="shared" si="45"/>
        <v>-4161.329999999999</v>
      </c>
      <c r="P133" s="36">
        <f>N133/M133*100</f>
        <v>15.750441865126405</v>
      </c>
      <c r="Q133" s="36">
        <f>N133-9388.2</f>
        <v>-8610.239999999998</v>
      </c>
      <c r="R133" s="136">
        <f>N133/9388.2</f>
        <v>0.08286572505911699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289268.49</v>
      </c>
      <c r="F134" s="31">
        <f>F106+F133</f>
        <v>247626.01</v>
      </c>
      <c r="G134" s="50">
        <f t="shared" si="43"/>
        <v>-41642.47999999998</v>
      </c>
      <c r="H134" s="51">
        <f>F134/E134*100</f>
        <v>85.60421150606484</v>
      </c>
      <c r="I134" s="36">
        <f t="shared" si="44"/>
        <v>-379295.07999999996</v>
      </c>
      <c r="J134" s="36">
        <f>F134/D134*100</f>
        <v>39.49875254635317</v>
      </c>
      <c r="K134" s="36">
        <f>F134-293840.6</f>
        <v>-46214.58999999997</v>
      </c>
      <c r="L134" s="136">
        <f>F134/293840.6</f>
        <v>0.8427222446455664</v>
      </c>
      <c r="M134" s="22">
        <f>M106+M133</f>
        <v>48038.26</v>
      </c>
      <c r="N134" s="22">
        <f>N106+N133</f>
        <v>11820.690000000024</v>
      </c>
      <c r="O134" s="36">
        <f t="shared" si="45"/>
        <v>-36217.56999999998</v>
      </c>
      <c r="P134" s="36">
        <f>N134/M134*100</f>
        <v>24.60682381085415</v>
      </c>
      <c r="Q134" s="36">
        <f>N134-51803</f>
        <v>-39982.309999999976</v>
      </c>
      <c r="R134" s="136">
        <f>N134/51803</f>
        <v>0.22818543327606555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13</v>
      </c>
      <c r="D136" s="4" t="s">
        <v>118</v>
      </c>
    </row>
    <row r="137" spans="2:17" ht="31.5">
      <c r="B137" s="78" t="s">
        <v>154</v>
      </c>
      <c r="C137" s="39">
        <f>IF(O106&lt;0,ABS(O106/C136),0)</f>
        <v>2465.864615384614</v>
      </c>
      <c r="D137" s="4" t="s">
        <v>104</v>
      </c>
      <c r="G137" s="192"/>
      <c r="H137" s="192"/>
      <c r="I137" s="192"/>
      <c r="J137" s="19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41800</v>
      </c>
      <c r="D138" s="39">
        <v>814.4</v>
      </c>
      <c r="N138" s="193"/>
      <c r="O138" s="193"/>
    </row>
    <row r="139" spans="3:15" ht="15.75">
      <c r="C139" s="120">
        <v>41796</v>
      </c>
      <c r="D139" s="39">
        <v>5284.6</v>
      </c>
      <c r="F139" s="4" t="s">
        <v>166</v>
      </c>
      <c r="G139" s="194" t="s">
        <v>151</v>
      </c>
      <c r="H139" s="194"/>
      <c r="I139" s="115">
        <f>'[1]залишки  (2)'!$G$9/1000</f>
        <v>13825.22196</v>
      </c>
      <c r="J139" s="195" t="s">
        <v>161</v>
      </c>
      <c r="K139" s="195"/>
      <c r="L139" s="195"/>
      <c r="M139" s="195"/>
      <c r="N139" s="193"/>
      <c r="O139" s="193"/>
    </row>
    <row r="140" spans="3:15" ht="15.75">
      <c r="C140" s="120">
        <v>41795</v>
      </c>
      <c r="D140" s="39">
        <v>2245.8</v>
      </c>
      <c r="G140" s="198" t="s">
        <v>155</v>
      </c>
      <c r="H140" s="198"/>
      <c r="I140" s="112">
        <v>0</v>
      </c>
      <c r="J140" s="199" t="s">
        <v>162</v>
      </c>
      <c r="K140" s="199"/>
      <c r="L140" s="199"/>
      <c r="M140" s="199"/>
      <c r="N140" s="193"/>
      <c r="O140" s="193"/>
    </row>
    <row r="141" spans="7:13" ht="15.75" customHeight="1">
      <c r="G141" s="194" t="s">
        <v>148</v>
      </c>
      <c r="H141" s="194"/>
      <c r="I141" s="112">
        <f>'[1]залишки  (2)'!$G$8/1000</f>
        <v>0</v>
      </c>
      <c r="J141" s="195" t="s">
        <v>163</v>
      </c>
      <c r="K141" s="195"/>
      <c r="L141" s="195"/>
      <c r="M141" s="195"/>
    </row>
    <row r="142" spans="2:13" ht="18.75" customHeight="1">
      <c r="B142" s="200" t="s">
        <v>160</v>
      </c>
      <c r="C142" s="201"/>
      <c r="D142" s="117">
        <f>'[1]залишки  (2)'!$G$6/1000</f>
        <v>118468.68344</v>
      </c>
      <c r="E142" s="80"/>
      <c r="F142" s="100" t="s">
        <v>147</v>
      </c>
      <c r="G142" s="194" t="s">
        <v>149</v>
      </c>
      <c r="H142" s="194"/>
      <c r="I142" s="116">
        <f>'[1]залишки  (2)'!$G$10/1000</f>
        <v>104643.46147999998</v>
      </c>
      <c r="J142" s="195" t="s">
        <v>164</v>
      </c>
      <c r="K142" s="195"/>
      <c r="L142" s="195"/>
      <c r="M142" s="195"/>
    </row>
    <row r="143" spans="7:12" ht="9.75" customHeight="1">
      <c r="G143" s="202"/>
      <c r="H143" s="202"/>
      <c r="I143" s="98"/>
      <c r="J143" s="99"/>
      <c r="K143" s="99"/>
      <c r="L143" s="99"/>
    </row>
    <row r="144" spans="2:12" ht="22.5" customHeight="1">
      <c r="B144" s="203" t="s">
        <v>169</v>
      </c>
      <c r="C144" s="204"/>
      <c r="D144" s="119">
        <f>'[1]надх'!$B$52/1000</f>
        <v>16116.62817</v>
      </c>
      <c r="E144" s="77" t="s">
        <v>104</v>
      </c>
      <c r="G144" s="202"/>
      <c r="H144" s="202"/>
      <c r="I144" s="98"/>
      <c r="J144" s="99"/>
      <c r="K144" s="99"/>
      <c r="L144" s="99"/>
    </row>
    <row r="145" spans="4:15" ht="15.75">
      <c r="D145" s="114"/>
      <c r="N145" s="202"/>
      <c r="O145" s="202"/>
    </row>
    <row r="146" spans="4:15" ht="15.75">
      <c r="D146" s="113"/>
      <c r="I146" s="39"/>
      <c r="N146" s="205"/>
      <c r="O146" s="205"/>
    </row>
    <row r="147" spans="14:15" ht="15.75">
      <c r="N147" s="202"/>
      <c r="O147" s="202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10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B115" sqref="B11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7" t="s">
        <v>235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26"/>
      <c r="R1" s="127"/>
    </row>
    <row r="2" spans="2:18" s="1" customFormat="1" ht="15.75" customHeight="1">
      <c r="B2" s="168"/>
      <c r="C2" s="168"/>
      <c r="D2" s="168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9"/>
      <c r="B3" s="171"/>
      <c r="C3" s="172" t="s">
        <v>0</v>
      </c>
      <c r="D3" s="173" t="s">
        <v>224</v>
      </c>
      <c r="E3" s="173"/>
      <c r="F3" s="174" t="s">
        <v>107</v>
      </c>
      <c r="G3" s="175"/>
      <c r="H3" s="175"/>
      <c r="I3" s="175"/>
      <c r="J3" s="175"/>
      <c r="K3" s="175"/>
      <c r="L3" s="176"/>
      <c r="M3" s="177" t="s">
        <v>225</v>
      </c>
      <c r="N3" s="179" t="s">
        <v>233</v>
      </c>
      <c r="O3" s="179"/>
      <c r="P3" s="179"/>
      <c r="Q3" s="179"/>
      <c r="R3" s="179"/>
    </row>
    <row r="4" spans="1:18" ht="22.5" customHeight="1">
      <c r="A4" s="169"/>
      <c r="B4" s="171"/>
      <c r="C4" s="172"/>
      <c r="D4" s="173"/>
      <c r="E4" s="173"/>
      <c r="F4" s="165" t="s">
        <v>116</v>
      </c>
      <c r="G4" s="180" t="s">
        <v>229</v>
      </c>
      <c r="H4" s="182" t="s">
        <v>230</v>
      </c>
      <c r="I4" s="184" t="s">
        <v>188</v>
      </c>
      <c r="J4" s="186" t="s">
        <v>189</v>
      </c>
      <c r="K4" s="188" t="s">
        <v>231</v>
      </c>
      <c r="L4" s="189"/>
      <c r="M4" s="178"/>
      <c r="N4" s="196" t="s">
        <v>236</v>
      </c>
      <c r="O4" s="184" t="s">
        <v>136</v>
      </c>
      <c r="P4" s="184" t="s">
        <v>135</v>
      </c>
      <c r="Q4" s="188" t="s">
        <v>234</v>
      </c>
      <c r="R4" s="189"/>
    </row>
    <row r="5" spans="1:18" ht="82.5" customHeight="1">
      <c r="A5" s="170"/>
      <c r="B5" s="171"/>
      <c r="C5" s="172"/>
      <c r="D5" s="150" t="s">
        <v>209</v>
      </c>
      <c r="E5" s="158" t="s">
        <v>228</v>
      </c>
      <c r="F5" s="166"/>
      <c r="G5" s="181"/>
      <c r="H5" s="183"/>
      <c r="I5" s="185"/>
      <c r="J5" s="187"/>
      <c r="K5" s="190"/>
      <c r="L5" s="191"/>
      <c r="M5" s="151" t="s">
        <v>232</v>
      </c>
      <c r="N5" s="197"/>
      <c r="O5" s="185"/>
      <c r="P5" s="185"/>
      <c r="Q5" s="190"/>
      <c r="R5" s="19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291.2</v>
      </c>
      <c r="G102" s="144"/>
      <c r="H102" s="146"/>
      <c r="I102" s="145"/>
      <c r="J102" s="145"/>
      <c r="K102" s="148">
        <f>F102-184.7</f>
        <v>106.5</v>
      </c>
      <c r="L102" s="149">
        <f>F102/184.7</f>
        <v>1.576610720086627</v>
      </c>
      <c r="M102" s="40">
        <f>E102-квітень!E102</f>
        <v>0</v>
      </c>
      <c r="N102" s="40">
        <f>F102-квітень!F102</f>
        <v>55.79999999999998</v>
      </c>
      <c r="O102" s="53"/>
      <c r="P102" s="60"/>
      <c r="Q102" s="60">
        <f>N102-45.1</f>
        <v>10.699999999999982</v>
      </c>
      <c r="R102" s="138">
        <f>N102/45.1</f>
        <v>1.2372505543237247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92"/>
      <c r="H137" s="192"/>
      <c r="I137" s="192"/>
      <c r="J137" s="19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3"/>
      <c r="O138" s="193"/>
    </row>
    <row r="139" spans="3:15" ht="15.75">
      <c r="C139" s="120">
        <v>41788</v>
      </c>
      <c r="D139" s="39">
        <v>5993.3</v>
      </c>
      <c r="F139" s="4" t="s">
        <v>166</v>
      </c>
      <c r="G139" s="194" t="s">
        <v>151</v>
      </c>
      <c r="H139" s="194"/>
      <c r="I139" s="115">
        <v>13825.22196</v>
      </c>
      <c r="J139" s="195" t="s">
        <v>161</v>
      </c>
      <c r="K139" s="195"/>
      <c r="L139" s="195"/>
      <c r="M139" s="195"/>
      <c r="N139" s="193"/>
      <c r="O139" s="193"/>
    </row>
    <row r="140" spans="3:15" ht="15.75">
      <c r="C140" s="120">
        <v>41787</v>
      </c>
      <c r="D140" s="39">
        <v>2595.2</v>
      </c>
      <c r="G140" s="198" t="s">
        <v>155</v>
      </c>
      <c r="H140" s="198"/>
      <c r="I140" s="112">
        <v>0</v>
      </c>
      <c r="J140" s="199" t="s">
        <v>162</v>
      </c>
      <c r="K140" s="199"/>
      <c r="L140" s="199"/>
      <c r="M140" s="199"/>
      <c r="N140" s="193"/>
      <c r="O140" s="193"/>
    </row>
    <row r="141" spans="7:13" ht="15.75" customHeight="1">
      <c r="G141" s="194" t="s">
        <v>148</v>
      </c>
      <c r="H141" s="194"/>
      <c r="I141" s="112">
        <v>0</v>
      </c>
      <c r="J141" s="195" t="s">
        <v>163</v>
      </c>
      <c r="K141" s="195"/>
      <c r="L141" s="195"/>
      <c r="M141" s="195"/>
    </row>
    <row r="142" spans="2:13" ht="18.75" customHeight="1">
      <c r="B142" s="200" t="s">
        <v>160</v>
      </c>
      <c r="C142" s="201"/>
      <c r="D142" s="117">
        <v>118982.48</v>
      </c>
      <c r="E142" s="80"/>
      <c r="F142" s="100" t="s">
        <v>147</v>
      </c>
      <c r="G142" s="194" t="s">
        <v>149</v>
      </c>
      <c r="H142" s="194"/>
      <c r="I142" s="116">
        <v>105157.26</v>
      </c>
      <c r="J142" s="195" t="s">
        <v>164</v>
      </c>
      <c r="K142" s="195"/>
      <c r="L142" s="195"/>
      <c r="M142" s="195"/>
    </row>
    <row r="143" spans="7:12" ht="9.75" customHeight="1">
      <c r="G143" s="202"/>
      <c r="H143" s="202"/>
      <c r="I143" s="98"/>
      <c r="J143" s="99"/>
      <c r="K143" s="99"/>
      <c r="L143" s="99"/>
    </row>
    <row r="144" spans="2:12" ht="22.5" customHeight="1">
      <c r="B144" s="203" t="s">
        <v>169</v>
      </c>
      <c r="C144" s="204"/>
      <c r="D144" s="119">
        <v>27359.4</v>
      </c>
      <c r="E144" s="77" t="s">
        <v>104</v>
      </c>
      <c r="G144" s="202"/>
      <c r="H144" s="202"/>
      <c r="I144" s="98"/>
      <c r="J144" s="99"/>
      <c r="K144" s="99"/>
      <c r="L144" s="99"/>
    </row>
    <row r="145" spans="4:15" ht="15.75">
      <c r="D145" s="114"/>
      <c r="N145" s="202"/>
      <c r="O145" s="202"/>
    </row>
    <row r="146" spans="4:15" ht="15.75">
      <c r="D146" s="113"/>
      <c r="I146" s="39"/>
      <c r="N146" s="205"/>
      <c r="O146" s="205"/>
    </row>
    <row r="147" spans="14:15" ht="15.75">
      <c r="N147" s="202"/>
      <c r="O147" s="202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11" sqref="G11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7" t="s">
        <v>226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26"/>
      <c r="R1" s="127"/>
    </row>
    <row r="2" spans="2:18" s="1" customFormat="1" ht="15.75" customHeight="1">
      <c r="B2" s="168"/>
      <c r="C2" s="168"/>
      <c r="D2" s="168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9"/>
      <c r="B3" s="171"/>
      <c r="C3" s="172" t="s">
        <v>0</v>
      </c>
      <c r="D3" s="173" t="s">
        <v>224</v>
      </c>
      <c r="E3" s="173"/>
      <c r="F3" s="174" t="s">
        <v>107</v>
      </c>
      <c r="G3" s="175"/>
      <c r="H3" s="175"/>
      <c r="I3" s="175"/>
      <c r="J3" s="175"/>
      <c r="K3" s="175"/>
      <c r="L3" s="176"/>
      <c r="M3" s="177" t="s">
        <v>225</v>
      </c>
      <c r="N3" s="179" t="s">
        <v>221</v>
      </c>
      <c r="O3" s="179"/>
      <c r="P3" s="179"/>
      <c r="Q3" s="179"/>
      <c r="R3" s="179"/>
    </row>
    <row r="4" spans="1:18" ht="22.5" customHeight="1">
      <c r="A4" s="169"/>
      <c r="B4" s="171"/>
      <c r="C4" s="172"/>
      <c r="D4" s="173"/>
      <c r="E4" s="173"/>
      <c r="F4" s="165" t="s">
        <v>116</v>
      </c>
      <c r="G4" s="180" t="s">
        <v>217</v>
      </c>
      <c r="H4" s="182" t="s">
        <v>218</v>
      </c>
      <c r="I4" s="184" t="s">
        <v>188</v>
      </c>
      <c r="J4" s="186" t="s">
        <v>189</v>
      </c>
      <c r="K4" s="188" t="s">
        <v>219</v>
      </c>
      <c r="L4" s="189"/>
      <c r="M4" s="178"/>
      <c r="N4" s="196" t="s">
        <v>227</v>
      </c>
      <c r="O4" s="184" t="s">
        <v>136</v>
      </c>
      <c r="P4" s="184" t="s">
        <v>135</v>
      </c>
      <c r="Q4" s="188" t="s">
        <v>222</v>
      </c>
      <c r="R4" s="189"/>
    </row>
    <row r="5" spans="1:18" ht="82.5" customHeight="1">
      <c r="A5" s="170"/>
      <c r="B5" s="171"/>
      <c r="C5" s="172"/>
      <c r="D5" s="150" t="s">
        <v>209</v>
      </c>
      <c r="E5" s="158" t="s">
        <v>216</v>
      </c>
      <c r="F5" s="166"/>
      <c r="G5" s="181"/>
      <c r="H5" s="183"/>
      <c r="I5" s="185"/>
      <c r="J5" s="187"/>
      <c r="K5" s="190"/>
      <c r="L5" s="191"/>
      <c r="M5" s="151" t="s">
        <v>220</v>
      </c>
      <c r="N5" s="197"/>
      <c r="O5" s="185"/>
      <c r="P5" s="185"/>
      <c r="Q5" s="190"/>
      <c r="R5" s="19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235.4</v>
      </c>
      <c r="G102" s="144"/>
      <c r="H102" s="146"/>
      <c r="I102" s="145"/>
      <c r="J102" s="145"/>
      <c r="K102" s="148">
        <f>F102-139.6</f>
        <v>95.80000000000001</v>
      </c>
      <c r="L102" s="149">
        <f>F102/139.6</f>
        <v>1.686246418338109</v>
      </c>
      <c r="M102" s="40">
        <f>E102-березень!E102</f>
        <v>0</v>
      </c>
      <c r="N102" s="40">
        <f>F102-березень!F102</f>
        <v>62.80000000000001</v>
      </c>
      <c r="O102" s="53"/>
      <c r="P102" s="60"/>
      <c r="Q102" s="60">
        <f>N102-51</f>
        <v>11.800000000000011</v>
      </c>
      <c r="R102" s="138">
        <f>N102/51</f>
        <v>1.2313725490196081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2"/>
      <c r="H137" s="192"/>
      <c r="I137" s="192"/>
      <c r="J137" s="19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3"/>
      <c r="O138" s="193"/>
    </row>
    <row r="139" spans="3:15" ht="15.75">
      <c r="C139" s="120">
        <v>41758</v>
      </c>
      <c r="D139" s="39">
        <v>5440.9</v>
      </c>
      <c r="F139" s="4" t="s">
        <v>166</v>
      </c>
      <c r="G139" s="194" t="s">
        <v>151</v>
      </c>
      <c r="H139" s="194"/>
      <c r="I139" s="115">
        <v>13825.22</v>
      </c>
      <c r="J139" s="195" t="s">
        <v>161</v>
      </c>
      <c r="K139" s="195"/>
      <c r="L139" s="195"/>
      <c r="M139" s="195"/>
      <c r="N139" s="193"/>
      <c r="O139" s="193"/>
    </row>
    <row r="140" spans="3:15" ht="15.75">
      <c r="C140" s="120">
        <v>41757</v>
      </c>
      <c r="D140" s="39">
        <v>1923.2</v>
      </c>
      <c r="G140" s="198" t="s">
        <v>155</v>
      </c>
      <c r="H140" s="198"/>
      <c r="I140" s="112">
        <v>0</v>
      </c>
      <c r="J140" s="199" t="s">
        <v>162</v>
      </c>
      <c r="K140" s="199"/>
      <c r="L140" s="199"/>
      <c r="M140" s="199"/>
      <c r="N140" s="193"/>
      <c r="O140" s="193"/>
    </row>
    <row r="141" spans="7:13" ht="15.75" customHeight="1">
      <c r="G141" s="194" t="s">
        <v>148</v>
      </c>
      <c r="H141" s="194"/>
      <c r="I141" s="112">
        <v>0</v>
      </c>
      <c r="J141" s="195" t="s">
        <v>163</v>
      </c>
      <c r="K141" s="195"/>
      <c r="L141" s="195"/>
      <c r="M141" s="195"/>
    </row>
    <row r="142" spans="2:13" ht="18.75" customHeight="1">
      <c r="B142" s="200" t="s">
        <v>160</v>
      </c>
      <c r="C142" s="201"/>
      <c r="D142" s="117">
        <v>123251.48</v>
      </c>
      <c r="E142" s="80"/>
      <c r="F142" s="100" t="s">
        <v>147</v>
      </c>
      <c r="G142" s="194" t="s">
        <v>149</v>
      </c>
      <c r="H142" s="194"/>
      <c r="I142" s="116">
        <v>109426.25</v>
      </c>
      <c r="J142" s="195" t="s">
        <v>164</v>
      </c>
      <c r="K142" s="195"/>
      <c r="L142" s="195"/>
      <c r="M142" s="195"/>
    </row>
    <row r="143" spans="7:12" ht="9.75" customHeight="1">
      <c r="G143" s="202"/>
      <c r="H143" s="202"/>
      <c r="I143" s="98"/>
      <c r="J143" s="99"/>
      <c r="K143" s="99"/>
      <c r="L143" s="99"/>
    </row>
    <row r="144" spans="2:12" ht="22.5" customHeight="1">
      <c r="B144" s="203" t="s">
        <v>169</v>
      </c>
      <c r="C144" s="204"/>
      <c r="D144" s="119">
        <f>'[1]надх'!$B$52/1000</f>
        <v>16116.62817</v>
      </c>
      <c r="E144" s="77" t="s">
        <v>104</v>
      </c>
      <c r="G144" s="202"/>
      <c r="H144" s="202"/>
      <c r="I144" s="98"/>
      <c r="J144" s="99"/>
      <c r="K144" s="99"/>
      <c r="L144" s="99"/>
    </row>
    <row r="145" spans="4:15" ht="15.75">
      <c r="D145" s="114"/>
      <c r="N145" s="202"/>
      <c r="O145" s="202"/>
    </row>
    <row r="146" spans="4:15" ht="15.75">
      <c r="D146" s="113"/>
      <c r="I146" s="39"/>
      <c r="N146" s="205"/>
      <c r="O146" s="205"/>
    </row>
    <row r="147" spans="14:15" ht="15.75">
      <c r="N147" s="202"/>
      <c r="O147" s="202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7" t="s">
        <v>212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26"/>
      <c r="R1" s="127"/>
    </row>
    <row r="2" spans="2:18" s="1" customFormat="1" ht="15.75" customHeight="1">
      <c r="B2" s="168"/>
      <c r="C2" s="168"/>
      <c r="D2" s="168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9"/>
      <c r="B3" s="171"/>
      <c r="C3" s="172" t="s">
        <v>0</v>
      </c>
      <c r="D3" s="173" t="s">
        <v>208</v>
      </c>
      <c r="E3" s="173"/>
      <c r="F3" s="174" t="s">
        <v>107</v>
      </c>
      <c r="G3" s="175"/>
      <c r="H3" s="175"/>
      <c r="I3" s="175"/>
      <c r="J3" s="175"/>
      <c r="K3" s="175"/>
      <c r="L3" s="176"/>
      <c r="M3" s="177" t="s">
        <v>210</v>
      </c>
      <c r="N3" s="179" t="s">
        <v>198</v>
      </c>
      <c r="O3" s="179"/>
      <c r="P3" s="179"/>
      <c r="Q3" s="179"/>
      <c r="R3" s="179"/>
    </row>
    <row r="4" spans="1:18" ht="22.5" customHeight="1">
      <c r="A4" s="169"/>
      <c r="B4" s="171"/>
      <c r="C4" s="172"/>
      <c r="D4" s="173"/>
      <c r="E4" s="173"/>
      <c r="F4" s="165" t="s">
        <v>116</v>
      </c>
      <c r="G4" s="180" t="s">
        <v>207</v>
      </c>
      <c r="H4" s="182" t="s">
        <v>195</v>
      </c>
      <c r="I4" s="184" t="s">
        <v>188</v>
      </c>
      <c r="J4" s="186" t="s">
        <v>189</v>
      </c>
      <c r="K4" s="188" t="s">
        <v>196</v>
      </c>
      <c r="L4" s="189"/>
      <c r="M4" s="178"/>
      <c r="N4" s="196" t="s">
        <v>213</v>
      </c>
      <c r="O4" s="184" t="s">
        <v>136</v>
      </c>
      <c r="P4" s="184" t="s">
        <v>135</v>
      </c>
      <c r="Q4" s="188" t="s">
        <v>197</v>
      </c>
      <c r="R4" s="189"/>
    </row>
    <row r="5" spans="1:18" ht="82.5" customHeight="1">
      <c r="A5" s="170"/>
      <c r="B5" s="171"/>
      <c r="C5" s="172"/>
      <c r="D5" s="150" t="s">
        <v>209</v>
      </c>
      <c r="E5" s="158" t="s">
        <v>214</v>
      </c>
      <c r="F5" s="166"/>
      <c r="G5" s="181"/>
      <c r="H5" s="183"/>
      <c r="I5" s="185"/>
      <c r="J5" s="187"/>
      <c r="K5" s="190"/>
      <c r="L5" s="191"/>
      <c r="M5" s="151" t="s">
        <v>211</v>
      </c>
      <c r="N5" s="197"/>
      <c r="O5" s="185"/>
      <c r="P5" s="185"/>
      <c r="Q5" s="190"/>
      <c r="R5" s="19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172.6</v>
      </c>
      <c r="G102" s="144"/>
      <c r="H102" s="146"/>
      <c r="I102" s="145"/>
      <c r="J102" s="145"/>
      <c r="K102" s="148">
        <f>F102-88.6</f>
        <v>84</v>
      </c>
      <c r="L102" s="149">
        <f>F102/88.6</f>
        <v>1.9480812641083523</v>
      </c>
      <c r="M102" s="40">
        <f>E102-лютий!E102</f>
        <v>0</v>
      </c>
      <c r="N102" s="40">
        <f>F102-лютий!F102</f>
        <v>42.5</v>
      </c>
      <c r="O102" s="53"/>
      <c r="P102" s="60"/>
      <c r="Q102" s="60">
        <f>N102-31.4</f>
        <v>11.100000000000001</v>
      </c>
      <c r="R102" s="135">
        <f>N102/31.4</f>
        <v>1.3535031847133758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2"/>
      <c r="H137" s="192"/>
      <c r="I137" s="192"/>
      <c r="J137" s="19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3"/>
      <c r="O138" s="193"/>
    </row>
    <row r="139" spans="3:15" ht="15.75">
      <c r="C139" s="120">
        <v>41726</v>
      </c>
      <c r="D139" s="39">
        <v>4682.6</v>
      </c>
      <c r="F139" s="4" t="s">
        <v>166</v>
      </c>
      <c r="G139" s="194" t="s">
        <v>151</v>
      </c>
      <c r="H139" s="194"/>
      <c r="I139" s="115">
        <v>13825.22196</v>
      </c>
      <c r="J139" s="195" t="s">
        <v>161</v>
      </c>
      <c r="K139" s="195"/>
      <c r="L139" s="195"/>
      <c r="M139" s="195"/>
      <c r="N139" s="193"/>
      <c r="O139" s="193"/>
    </row>
    <row r="140" spans="3:15" ht="15.75">
      <c r="C140" s="120">
        <v>41725</v>
      </c>
      <c r="D140" s="39">
        <v>3360.7</v>
      </c>
      <c r="G140" s="198" t="s">
        <v>155</v>
      </c>
      <c r="H140" s="198"/>
      <c r="I140" s="112">
        <v>0</v>
      </c>
      <c r="J140" s="199" t="s">
        <v>162</v>
      </c>
      <c r="K140" s="199"/>
      <c r="L140" s="199"/>
      <c r="M140" s="199"/>
      <c r="N140" s="193"/>
      <c r="O140" s="193"/>
    </row>
    <row r="141" spans="7:13" ht="15.75" customHeight="1">
      <c r="G141" s="194" t="s">
        <v>148</v>
      </c>
      <c r="H141" s="194"/>
      <c r="I141" s="112">
        <v>0</v>
      </c>
      <c r="J141" s="195" t="s">
        <v>163</v>
      </c>
      <c r="K141" s="195"/>
      <c r="L141" s="195"/>
      <c r="M141" s="195"/>
    </row>
    <row r="142" spans="2:13" ht="18.75" customHeight="1">
      <c r="B142" s="200" t="s">
        <v>160</v>
      </c>
      <c r="C142" s="201"/>
      <c r="D142" s="117">
        <v>114985.02570999999</v>
      </c>
      <c r="E142" s="80"/>
      <c r="F142" s="100" t="s">
        <v>147</v>
      </c>
      <c r="G142" s="194" t="s">
        <v>149</v>
      </c>
      <c r="H142" s="194"/>
      <c r="I142" s="116">
        <v>101159.80375</v>
      </c>
      <c r="J142" s="195" t="s">
        <v>164</v>
      </c>
      <c r="K142" s="195"/>
      <c r="L142" s="195"/>
      <c r="M142" s="195"/>
    </row>
    <row r="143" spans="7:12" ht="9.75" customHeight="1">
      <c r="G143" s="202"/>
      <c r="H143" s="202"/>
      <c r="I143" s="98"/>
      <c r="J143" s="99"/>
      <c r="K143" s="99"/>
      <c r="L143" s="99"/>
    </row>
    <row r="144" spans="2:12" ht="22.5" customHeight="1">
      <c r="B144" s="203" t="s">
        <v>169</v>
      </c>
      <c r="C144" s="204"/>
      <c r="D144" s="119">
        <v>3918.1</v>
      </c>
      <c r="E144" s="77" t="s">
        <v>104</v>
      </c>
      <c r="G144" s="202"/>
      <c r="H144" s="202"/>
      <c r="I144" s="98"/>
      <c r="J144" s="99"/>
      <c r="K144" s="99"/>
      <c r="L144" s="99"/>
    </row>
    <row r="145" spans="4:15" ht="15.75">
      <c r="D145" s="114"/>
      <c r="N145" s="202"/>
      <c r="O145" s="202"/>
    </row>
    <row r="146" spans="4:15" ht="15.75">
      <c r="D146" s="113"/>
      <c r="I146" s="39"/>
      <c r="N146" s="205"/>
      <c r="O146" s="205"/>
    </row>
    <row r="147" spans="14:15" ht="15.75">
      <c r="N147" s="202"/>
      <c r="O147" s="202"/>
    </row>
  </sheetData>
  <mergeCells count="38"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  <mergeCell ref="N4:N5"/>
    <mergeCell ref="O4:O5"/>
    <mergeCell ref="P4:P5"/>
    <mergeCell ref="G137:J137"/>
    <mergeCell ref="N138:O138"/>
    <mergeCell ref="G139:H139"/>
    <mergeCell ref="J139:M139"/>
    <mergeCell ref="N139:O139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22" sqref="E1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67" t="s">
        <v>193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26"/>
      <c r="R1" s="127"/>
    </row>
    <row r="2" spans="2:18" s="1" customFormat="1" ht="15.75" customHeight="1">
      <c r="B2" s="168"/>
      <c r="C2" s="168"/>
      <c r="D2" s="168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9"/>
      <c r="B3" s="171"/>
      <c r="C3" s="172" t="s">
        <v>0</v>
      </c>
      <c r="D3" s="207" t="s">
        <v>187</v>
      </c>
      <c r="E3" s="46"/>
      <c r="F3" s="208" t="s">
        <v>107</v>
      </c>
      <c r="G3" s="209"/>
      <c r="H3" s="209"/>
      <c r="I3" s="209"/>
      <c r="J3" s="210"/>
      <c r="K3" s="123"/>
      <c r="L3" s="123"/>
      <c r="M3" s="211" t="s">
        <v>190</v>
      </c>
      <c r="N3" s="206" t="s">
        <v>185</v>
      </c>
      <c r="O3" s="206"/>
      <c r="P3" s="206"/>
      <c r="Q3" s="206"/>
      <c r="R3" s="206"/>
    </row>
    <row r="4" spans="1:18" ht="22.5" customHeight="1">
      <c r="A4" s="169"/>
      <c r="B4" s="171"/>
      <c r="C4" s="172"/>
      <c r="D4" s="207"/>
      <c r="E4" s="212" t="s">
        <v>191</v>
      </c>
      <c r="F4" s="214" t="s">
        <v>116</v>
      </c>
      <c r="G4" s="216" t="s">
        <v>167</v>
      </c>
      <c r="H4" s="182" t="s">
        <v>168</v>
      </c>
      <c r="I4" s="218" t="s">
        <v>188</v>
      </c>
      <c r="J4" s="220" t="s">
        <v>189</v>
      </c>
      <c r="K4" s="125" t="s">
        <v>174</v>
      </c>
      <c r="L4" s="130" t="s">
        <v>173</v>
      </c>
      <c r="M4" s="211"/>
      <c r="N4" s="196" t="s">
        <v>194</v>
      </c>
      <c r="O4" s="218" t="s">
        <v>136</v>
      </c>
      <c r="P4" s="206" t="s">
        <v>135</v>
      </c>
      <c r="Q4" s="131" t="s">
        <v>174</v>
      </c>
      <c r="R4" s="132" t="s">
        <v>173</v>
      </c>
    </row>
    <row r="5" spans="1:18" ht="82.5" customHeight="1">
      <c r="A5" s="170"/>
      <c r="B5" s="171"/>
      <c r="C5" s="172"/>
      <c r="D5" s="207"/>
      <c r="E5" s="213"/>
      <c r="F5" s="215"/>
      <c r="G5" s="217"/>
      <c r="H5" s="183"/>
      <c r="I5" s="219"/>
      <c r="J5" s="221"/>
      <c r="K5" s="190" t="s">
        <v>184</v>
      </c>
      <c r="L5" s="191"/>
      <c r="M5" s="211"/>
      <c r="N5" s="197"/>
      <c r="O5" s="219"/>
      <c r="P5" s="206"/>
      <c r="Q5" s="190" t="s">
        <v>199</v>
      </c>
      <c r="R5" s="19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65.19999999999999</v>
      </c>
      <c r="O102" s="53"/>
      <c r="P102" s="60"/>
      <c r="Q102" s="60">
        <f>N102-26.6</f>
        <v>38.59999999999999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2"/>
      <c r="H137" s="192"/>
      <c r="I137" s="192"/>
      <c r="J137" s="19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3"/>
      <c r="O138" s="193"/>
    </row>
    <row r="139" spans="3:15" ht="15.75">
      <c r="C139" s="120">
        <v>41697</v>
      </c>
      <c r="D139" s="39">
        <v>2276.8</v>
      </c>
      <c r="F139" s="4" t="s">
        <v>166</v>
      </c>
      <c r="G139" s="194" t="s">
        <v>151</v>
      </c>
      <c r="H139" s="194"/>
      <c r="I139" s="115">
        <v>13825.22</v>
      </c>
      <c r="J139" s="195" t="s">
        <v>161</v>
      </c>
      <c r="K139" s="195"/>
      <c r="L139" s="195"/>
      <c r="M139" s="195"/>
      <c r="N139" s="193"/>
      <c r="O139" s="193"/>
    </row>
    <row r="140" spans="3:15" ht="15.75">
      <c r="C140" s="120">
        <v>41696</v>
      </c>
      <c r="D140" s="39">
        <v>3746.1</v>
      </c>
      <c r="G140" s="198" t="s">
        <v>155</v>
      </c>
      <c r="H140" s="198"/>
      <c r="I140" s="112">
        <v>0</v>
      </c>
      <c r="J140" s="199" t="s">
        <v>162</v>
      </c>
      <c r="K140" s="199"/>
      <c r="L140" s="199"/>
      <c r="M140" s="199"/>
      <c r="N140" s="193"/>
      <c r="O140" s="193"/>
    </row>
    <row r="141" spans="7:13" ht="15.75" customHeight="1">
      <c r="G141" s="194" t="s">
        <v>148</v>
      </c>
      <c r="H141" s="194"/>
      <c r="I141" s="112">
        <f>'[1]залишки  (2)'!$G$8/1000</f>
        <v>0</v>
      </c>
      <c r="J141" s="195" t="s">
        <v>163</v>
      </c>
      <c r="K141" s="195"/>
      <c r="L141" s="195"/>
      <c r="M141" s="195"/>
    </row>
    <row r="142" spans="2:13" ht="18.75" customHeight="1">
      <c r="B142" s="200" t="s">
        <v>160</v>
      </c>
      <c r="C142" s="201"/>
      <c r="D142" s="117">
        <v>121970.53</v>
      </c>
      <c r="E142" s="80"/>
      <c r="F142" s="100" t="s">
        <v>147</v>
      </c>
      <c r="G142" s="194" t="s">
        <v>149</v>
      </c>
      <c r="H142" s="194"/>
      <c r="I142" s="116">
        <v>108145.31</v>
      </c>
      <c r="J142" s="195" t="s">
        <v>164</v>
      </c>
      <c r="K142" s="195"/>
      <c r="L142" s="195"/>
      <c r="M142" s="195"/>
    </row>
    <row r="143" spans="7:12" ht="9.75" customHeight="1">
      <c r="G143" s="202"/>
      <c r="H143" s="202"/>
      <c r="I143" s="98"/>
      <c r="J143" s="99"/>
      <c r="K143" s="99"/>
      <c r="L143" s="99"/>
    </row>
    <row r="144" spans="2:12" ht="22.5" customHeight="1">
      <c r="B144" s="203" t="s">
        <v>169</v>
      </c>
      <c r="C144" s="204"/>
      <c r="D144" s="119">
        <v>0</v>
      </c>
      <c r="E144" s="77" t="s">
        <v>104</v>
      </c>
      <c r="G144" s="202"/>
      <c r="H144" s="202"/>
      <c r="I144" s="98"/>
      <c r="J144" s="99"/>
      <c r="K144" s="99"/>
      <c r="L144" s="99"/>
    </row>
    <row r="145" spans="4:15" ht="15.75">
      <c r="D145" s="114"/>
      <c r="N145" s="202"/>
      <c r="O145" s="202"/>
    </row>
    <row r="146" spans="4:15" ht="15.75">
      <c r="D146" s="113"/>
      <c r="I146" s="39"/>
      <c r="N146" s="205"/>
      <c r="O146" s="205"/>
    </row>
    <row r="147" spans="14:15" ht="15.75">
      <c r="N147" s="202"/>
      <c r="O147" s="202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67" t="s">
        <v>183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26"/>
      <c r="R1" s="127"/>
    </row>
    <row r="2" spans="2:18" s="1" customFormat="1" ht="15.75" customHeight="1">
      <c r="B2" s="168"/>
      <c r="C2" s="168"/>
      <c r="D2" s="168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9"/>
      <c r="B3" s="171"/>
      <c r="C3" s="172" t="s">
        <v>0</v>
      </c>
      <c r="D3" s="207" t="s">
        <v>192</v>
      </c>
      <c r="E3" s="46"/>
      <c r="F3" s="208" t="s">
        <v>107</v>
      </c>
      <c r="G3" s="209"/>
      <c r="H3" s="209"/>
      <c r="I3" s="209"/>
      <c r="J3" s="210"/>
      <c r="K3" s="123"/>
      <c r="L3" s="123"/>
      <c r="M3" s="186" t="s">
        <v>200</v>
      </c>
      <c r="N3" s="206" t="s">
        <v>178</v>
      </c>
      <c r="O3" s="206"/>
      <c r="P3" s="206"/>
      <c r="Q3" s="206"/>
      <c r="R3" s="206"/>
    </row>
    <row r="4" spans="1:18" ht="22.5" customHeight="1">
      <c r="A4" s="169"/>
      <c r="B4" s="171"/>
      <c r="C4" s="172"/>
      <c r="D4" s="207"/>
      <c r="E4" s="212" t="s">
        <v>153</v>
      </c>
      <c r="F4" s="214" t="s">
        <v>116</v>
      </c>
      <c r="G4" s="216" t="s">
        <v>175</v>
      </c>
      <c r="H4" s="182" t="s">
        <v>176</v>
      </c>
      <c r="I4" s="218" t="s">
        <v>188</v>
      </c>
      <c r="J4" s="220" t="s">
        <v>189</v>
      </c>
      <c r="K4" s="125" t="s">
        <v>174</v>
      </c>
      <c r="L4" s="130" t="s">
        <v>173</v>
      </c>
      <c r="M4" s="222"/>
      <c r="N4" s="196" t="s">
        <v>186</v>
      </c>
      <c r="O4" s="218" t="s">
        <v>136</v>
      </c>
      <c r="P4" s="206" t="s">
        <v>135</v>
      </c>
      <c r="Q4" s="131" t="s">
        <v>174</v>
      </c>
      <c r="R4" s="132" t="s">
        <v>173</v>
      </c>
    </row>
    <row r="5" spans="1:18" ht="82.5" customHeight="1">
      <c r="A5" s="170"/>
      <c r="B5" s="171"/>
      <c r="C5" s="172"/>
      <c r="D5" s="207"/>
      <c r="E5" s="213"/>
      <c r="F5" s="215"/>
      <c r="G5" s="217"/>
      <c r="H5" s="183"/>
      <c r="I5" s="219"/>
      <c r="J5" s="221"/>
      <c r="K5" s="190" t="s">
        <v>177</v>
      </c>
      <c r="L5" s="191"/>
      <c r="M5" s="187"/>
      <c r="N5" s="197"/>
      <c r="O5" s="219"/>
      <c r="P5" s="206"/>
      <c r="Q5" s="190" t="s">
        <v>179</v>
      </c>
      <c r="R5" s="19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</v>
      </c>
      <c r="G102" s="144"/>
      <c r="H102" s="146"/>
      <c r="I102" s="145"/>
      <c r="J102" s="145"/>
      <c r="K102" s="145">
        <f>F102-30.6</f>
        <v>34.300000000000004</v>
      </c>
      <c r="L102" s="148">
        <f>F102/30.6*100</f>
        <v>212.09150326797385</v>
      </c>
      <c r="M102" s="40">
        <f t="shared" si="39"/>
        <v>0</v>
      </c>
      <c r="N102" s="40">
        <f t="shared" si="40"/>
        <v>64.9</v>
      </c>
      <c r="O102" s="53"/>
      <c r="P102" s="56"/>
      <c r="Q102" s="56">
        <f>N102-30.6</f>
        <v>34.300000000000004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2"/>
      <c r="H137" s="192"/>
      <c r="I137" s="192"/>
      <c r="J137" s="19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3"/>
      <c r="O138" s="193"/>
    </row>
    <row r="139" spans="3:15" ht="15.75">
      <c r="C139" s="120">
        <v>41669</v>
      </c>
      <c r="D139" s="39">
        <v>4752.2</v>
      </c>
      <c r="F139" s="4" t="s">
        <v>166</v>
      </c>
      <c r="G139" s="194" t="s">
        <v>151</v>
      </c>
      <c r="H139" s="194"/>
      <c r="I139" s="115">
        <v>13825.22</v>
      </c>
      <c r="J139" s="195" t="s">
        <v>161</v>
      </c>
      <c r="K139" s="195"/>
      <c r="L139" s="195"/>
      <c r="M139" s="195"/>
      <c r="N139" s="193"/>
      <c r="O139" s="193"/>
    </row>
    <row r="140" spans="3:15" ht="15.75">
      <c r="C140" s="120">
        <v>41668</v>
      </c>
      <c r="D140" s="39">
        <v>1984.7</v>
      </c>
      <c r="G140" s="198" t="s">
        <v>155</v>
      </c>
      <c r="H140" s="198"/>
      <c r="I140" s="112">
        <v>0</v>
      </c>
      <c r="J140" s="199" t="s">
        <v>162</v>
      </c>
      <c r="K140" s="199"/>
      <c r="L140" s="199"/>
      <c r="M140" s="199"/>
      <c r="N140" s="193"/>
      <c r="O140" s="193"/>
    </row>
    <row r="141" spans="7:13" ht="15.75" customHeight="1">
      <c r="G141" s="194" t="s">
        <v>148</v>
      </c>
      <c r="H141" s="194"/>
      <c r="I141" s="112">
        <v>0</v>
      </c>
      <c r="J141" s="195" t="s">
        <v>163</v>
      </c>
      <c r="K141" s="195"/>
      <c r="L141" s="195"/>
      <c r="M141" s="195"/>
    </row>
    <row r="142" spans="2:13" ht="18.75" customHeight="1">
      <c r="B142" s="200" t="s">
        <v>160</v>
      </c>
      <c r="C142" s="201"/>
      <c r="D142" s="117">
        <v>111410.62</v>
      </c>
      <c r="E142" s="80"/>
      <c r="F142" s="100" t="s">
        <v>147</v>
      </c>
      <c r="G142" s="194" t="s">
        <v>149</v>
      </c>
      <c r="H142" s="194"/>
      <c r="I142" s="116">
        <v>97585.4</v>
      </c>
      <c r="J142" s="195" t="s">
        <v>164</v>
      </c>
      <c r="K142" s="195"/>
      <c r="L142" s="195"/>
      <c r="M142" s="195"/>
    </row>
    <row r="143" spans="7:12" ht="9.75" customHeight="1">
      <c r="G143" s="202"/>
      <c r="H143" s="202"/>
      <c r="I143" s="98"/>
      <c r="J143" s="99"/>
      <c r="K143" s="99"/>
      <c r="L143" s="99"/>
    </row>
    <row r="144" spans="2:12" ht="22.5" customHeight="1">
      <c r="B144" s="203" t="s">
        <v>169</v>
      </c>
      <c r="C144" s="204"/>
      <c r="D144" s="119">
        <v>0</v>
      </c>
      <c r="E144" s="77" t="s">
        <v>104</v>
      </c>
      <c r="G144" s="202"/>
      <c r="H144" s="202"/>
      <c r="I144" s="98"/>
      <c r="J144" s="99"/>
      <c r="K144" s="99"/>
      <c r="L144" s="99"/>
    </row>
    <row r="145" spans="4:15" ht="15.75">
      <c r="D145" s="114"/>
      <c r="N145" s="202"/>
      <c r="O145" s="202"/>
    </row>
    <row r="146" spans="4:15" ht="15.75">
      <c r="D146" s="113"/>
      <c r="I146" s="39"/>
      <c r="N146" s="205"/>
      <c r="O146" s="205"/>
    </row>
    <row r="147" spans="14:15" ht="15.75">
      <c r="N147" s="202"/>
      <c r="O147" s="202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2014-06-11T09:04:59Z</cp:lastPrinted>
  <dcterms:created xsi:type="dcterms:W3CDTF">2003-07-28T11:27:56Z</dcterms:created>
  <dcterms:modified xsi:type="dcterms:W3CDTF">2014-06-11T09:32:47Z</dcterms:modified>
  <cp:category/>
  <cp:version/>
  <cp:contentType/>
  <cp:contentStatus/>
</cp:coreProperties>
</file>